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'Eng.Afr'!$A$1:$S$57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<sst xmlns="http://schemas.openxmlformats.org/spreadsheetml/2006/main" count="226" uniqueCount="122">
  <si>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</si>
  <si>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 xml:space="preserve">Monthly announcement of information / Maandelikse bekendmaking van inligting (1) 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</si>
  <si>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</si>
  <si>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</si>
  <si>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</si>
  <si>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</si>
  <si>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</si>
  <si>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</si>
  <si>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</si>
  <si>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</si>
  <si>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</si>
  <si>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</si>
  <si>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</si>
  <si>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</si>
  <si>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</si>
  <si>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</si>
  <si>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</si>
  <si>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</si>
  <si>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</si>
  <si>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</si>
  <si>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</si>
  <si>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</si>
  <si>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</si>
  <si>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</si>
  <si>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</si>
  <si>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</si>
  <si>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</si>
  <si>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</si>
  <si>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</si>
  <si>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</si>
  <si>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</si>
  <si>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</si>
  <si>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</si>
  <si>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</si>
  <si>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</si>
  <si>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</si>
  <si>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</si>
  <si>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</si>
  <si>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</si>
  <si>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</si>
  <si>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</si>
  <si>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</si>
  <si>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</si>
  <si>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</si>
  <si>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</si>
  <si>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</si>
  <si>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</si>
  <si>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</si>
  <si>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</si>
  <si>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</si>
  <si>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</si>
  <si>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</si>
  <si>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</si>
  <si>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</si>
  <si>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</si>
  <si>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</si>
  <si>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</si>
  <si>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</si>
  <si>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</si>
  <si>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</si>
  <si>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</si>
  <si>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</si>
  <si>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</si>
  <si>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</si>
  <si>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</si>
  <si>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</si>
  <si>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</si>
  <si>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</si>
  <si>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</si>
  <si>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</si>
  <si>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</si>
  <si>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</si>
  <si>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</si>
  <si>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</si>
  <si>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</si>
  <si>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</si>
  <si>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</si>
  <si>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</si>
  <si>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</si>
  <si>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</si>
  <si>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</si>
  <si>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</si>
  <si>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</si>
  <si>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</si>
  <si>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</si>
  <si>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</si>
  <si>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</si>
  <si>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</si>
  <si>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</si>
  <si>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</si>
  <si>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</si>
  <si>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</si>
  <si>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</si>
  <si>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</si>
  <si>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</si>
  <si>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</si>
  <si>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</si>
  <si>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</si>
  <si>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</si>
  <si>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</si>
  <si>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</si>
  <si>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</si>
  <si>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</si>
  <si>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</si>
  <si>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</si>
  <si>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</si>
  <si>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</si>
  <si>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</si>
  <si>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Mar/Mrt 2015</t>
  </si>
  <si>
    <t>1 Mar/Mrt 2015</t>
  </si>
  <si>
    <t>31 Mar/Mrt 2015</t>
  </si>
  <si>
    <t>SMD-052015</t>
  </si>
  <si>
    <t>Apr 2015</t>
  </si>
  <si>
    <t>Oct/Okt 2014 - Apr 2015</t>
  </si>
  <si>
    <t>Oct/Okt 2013 - Apr 2014</t>
  </si>
  <si>
    <t>1 Apr 2015</t>
  </si>
  <si>
    <t>Prog. Oct/Okt 2014 - Apr 2015</t>
  </si>
  <si>
    <t>Prog. Oct/Okt 2013 - Apr 2014</t>
  </si>
  <si>
    <t>Surplus(-)/Deficit(+)(iii)</t>
  </si>
  <si>
    <t>Surplus(-)/Tekort(+)(iii)</t>
  </si>
  <si>
    <t>30 Apr 2015</t>
  </si>
  <si>
    <t>30 Apr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</si>
</sst>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164" fontId="4" fillId="0" borderId="25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13" xfId="55" applyNumberFormat="1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209550</xdr:rowOff>
    </xdr:from>
    <xdr:to>
      <xdr:col>2</xdr:col>
      <xdr:colOff>3390900</xdr:colOff>
      <xdr:row>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114300</xdr:rowOff>
    </xdr:from>
    <xdr:to>
      <xdr:col>2</xdr:col>
      <xdr:colOff>4314825</xdr:colOff>
      <xdr:row>7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95450"/>
          <a:ext cx="4514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266729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13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-27</v>
          </cell>
        </row>
        <row r="43">
          <cell r="D43">
            <v>539930</v>
          </cell>
          <cell r="E43">
            <v>5945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29695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352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-27</v>
          </cell>
        </row>
      </sheetData>
      <sheetData sheetId="20">
        <row r="11">
          <cell r="B11">
            <v>266729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539930</v>
          </cell>
          <cell r="C14">
            <v>5945</v>
          </cell>
        </row>
      </sheetData>
      <sheetData sheetId="24">
        <row r="14">
          <cell r="B14">
            <v>274547</v>
          </cell>
          <cell r="C14">
            <v>145</v>
          </cell>
        </row>
      </sheetData>
      <sheetData sheetId="25">
        <row r="11">
          <cell r="B11">
            <v>258024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39"/>
      <c r="B1" s="340"/>
      <c r="C1" s="341"/>
      <c r="D1" s="348" t="s">
        <v>0</v>
      </c>
      <c r="E1" s="349"/>
      <c r="F1" s="349"/>
      <c r="G1" s="349"/>
      <c r="H1" s="349"/>
      <c r="I1" s="349"/>
      <c r="J1" s="349"/>
      <c r="K1" s="314" t="str">
        <f>'[1]Datums'!$D$8</f>
        <v>SMD-112014</v>
      </c>
      <c r="L1" s="315"/>
      <c r="M1" s="316"/>
    </row>
    <row r="2" spans="1:13" ht="30" customHeight="1">
      <c r="A2" s="342"/>
      <c r="B2" s="343"/>
      <c r="C2" s="344"/>
      <c r="D2" s="320" t="str">
        <f>'[1]KS Afr Notas'!$B$4</f>
        <v>Monthly announcement of information / Maandelikse bekendmaking van inligting (1) </v>
      </c>
      <c r="E2" s="321"/>
      <c r="F2" s="321"/>
      <c r="G2" s="321"/>
      <c r="H2" s="321"/>
      <c r="I2" s="321"/>
      <c r="J2" s="321"/>
      <c r="K2" s="317"/>
      <c r="L2" s="318"/>
      <c r="M2" s="319"/>
    </row>
    <row r="3" spans="1:13" ht="30" customHeight="1">
      <c r="A3" s="342"/>
      <c r="B3" s="343"/>
      <c r="C3" s="344"/>
      <c r="D3" s="320" t="str">
        <f>'[1]KS Afr Notas'!$B$5</f>
        <v>2014/15 Year (Oct - Sep) / 2014/15 Jaar (Okt - Sep) (2)</v>
      </c>
      <c r="E3" s="321"/>
      <c r="F3" s="321"/>
      <c r="G3" s="321"/>
      <c r="H3" s="321"/>
      <c r="I3" s="321"/>
      <c r="J3" s="321"/>
      <c r="K3" s="317"/>
      <c r="L3" s="318"/>
      <c r="M3" s="319"/>
    </row>
    <row r="4" spans="1:13" ht="30" customHeight="1" thickBot="1">
      <c r="A4" s="342"/>
      <c r="B4" s="343"/>
      <c r="C4" s="344"/>
      <c r="D4" s="322" t="s">
        <v>2</v>
      </c>
      <c r="E4" s="323"/>
      <c r="F4" s="323"/>
      <c r="G4" s="323"/>
      <c r="H4" s="323"/>
      <c r="I4" s="323"/>
      <c r="J4" s="323"/>
      <c r="K4" s="317"/>
      <c r="L4" s="318"/>
      <c r="M4" s="319"/>
    </row>
    <row r="5" spans="1:13" ht="30" customHeight="1">
      <c r="A5" s="342"/>
      <c r="B5" s="343"/>
      <c r="C5" s="344"/>
      <c r="D5" s="324" t="str">
        <f>'[1]Datums'!$C$25</f>
        <v>Oct/Okt 2014</v>
      </c>
      <c r="E5" s="325"/>
      <c r="F5" s="326"/>
      <c r="G5" s="157"/>
      <c r="H5" s="327"/>
      <c r="I5" s="328"/>
      <c r="J5" s="329"/>
      <c r="K5" s="330">
        <f>'[1]Datums'!$C$8</f>
        <v>41967</v>
      </c>
      <c r="L5" s="318"/>
      <c r="M5" s="319"/>
    </row>
    <row r="6" spans="1:13" ht="30" customHeight="1" thickBot="1">
      <c r="A6" s="342"/>
      <c r="B6" s="343"/>
      <c r="C6" s="344"/>
      <c r="D6" s="334" t="s">
        <v>4</v>
      </c>
      <c r="E6" s="335"/>
      <c r="F6" s="335"/>
      <c r="G6" s="158"/>
      <c r="H6" s="334" t="str">
        <f>'[1]Datums'!$D$25</f>
        <v>Oct/Okt 2013</v>
      </c>
      <c r="I6" s="335"/>
      <c r="J6" s="335"/>
      <c r="K6" s="317"/>
      <c r="L6" s="318"/>
      <c r="M6" s="319"/>
    </row>
    <row r="7" spans="1:13" ht="30" customHeight="1">
      <c r="A7" s="342"/>
      <c r="B7" s="343"/>
      <c r="C7" s="344"/>
      <c r="D7" s="159" t="s">
        <v>5</v>
      </c>
      <c r="E7" s="160" t="s">
        <v>6</v>
      </c>
      <c r="F7" s="161" t="s">
        <v>7</v>
      </c>
      <c r="G7" s="162" t="s">
        <v>8</v>
      </c>
      <c r="H7" s="159" t="s">
        <v>5</v>
      </c>
      <c r="I7" s="160" t="s">
        <v>6</v>
      </c>
      <c r="J7" s="163" t="s">
        <v>7</v>
      </c>
      <c r="K7" s="317"/>
      <c r="L7" s="318"/>
      <c r="M7" s="319"/>
    </row>
    <row r="8" spans="1:13" ht="30" customHeight="1" thickBot="1">
      <c r="A8" s="345"/>
      <c r="B8" s="346"/>
      <c r="C8" s="347"/>
      <c r="D8" s="164" t="s">
        <v>9</v>
      </c>
      <c r="E8" s="165" t="s">
        <v>10</v>
      </c>
      <c r="F8" s="166" t="s">
        <v>11</v>
      </c>
      <c r="G8" s="167" t="s">
        <v>12</v>
      </c>
      <c r="H8" s="164" t="s">
        <v>9</v>
      </c>
      <c r="I8" s="165" t="s">
        <v>10</v>
      </c>
      <c r="J8" s="168" t="s">
        <v>11</v>
      </c>
      <c r="K8" s="331"/>
      <c r="L8" s="332"/>
      <c r="M8" s="333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36" t="str">
        <f>'[1]Datums'!$C$41</f>
        <v>1 Oct/Okt 2014</v>
      </c>
      <c r="E10" s="337"/>
      <c r="F10" s="337"/>
      <c r="G10" s="176"/>
      <c r="H10" s="336" t="str">
        <f>'[1]Datums'!$D$41</f>
        <v>1 Oct/Okt 2013</v>
      </c>
      <c r="I10" s="337"/>
      <c r="J10" s="338"/>
      <c r="K10" s="175"/>
      <c r="L10" s="175"/>
      <c r="M10" s="177"/>
    </row>
    <row r="11" spans="1:13" ht="30" customHeight="1" thickBot="1">
      <c r="A11" s="178" t="s">
        <v>13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14</v>
      </c>
    </row>
    <row r="12" spans="1:13" ht="30" customHeight="1" thickBot="1">
      <c r="A12" s="178"/>
      <c r="B12" s="183"/>
      <c r="C12" s="183"/>
      <c r="D12" s="310"/>
      <c r="E12" s="310"/>
      <c r="F12" s="310"/>
      <c r="G12" s="30"/>
      <c r="H12" s="310"/>
      <c r="I12" s="310"/>
      <c r="J12" s="310"/>
      <c r="K12" s="184"/>
      <c r="L12" s="184"/>
      <c r="M12" s="185"/>
    </row>
    <row r="13" spans="1:13" ht="30" customHeight="1" thickBot="1">
      <c r="A13" s="178" t="s">
        <v>15</v>
      </c>
      <c r="B13" s="186"/>
      <c r="C13" s="186"/>
      <c r="D13" s="22">
        <f>D14+D15</f>
        <v>604430</v>
      </c>
      <c r="E13" s="36">
        <f>E14+E15</f>
        <v>114</v>
      </c>
      <c r="F13" s="24">
        <f>SUM(D13:E13)</f>
        <v>604544</v>
      </c>
      <c r="G13" s="277">
        <f>_xlfn.IFERROR((F13-J13)/J13*100,IF(F13-J13=0,0,100))</f>
        <v>88.85095137090502</v>
      </c>
      <c r="H13" s="53">
        <f>+H14+H15</f>
        <v>319298</v>
      </c>
      <c r="I13" s="34">
        <f>+I14+I15</f>
        <v>819</v>
      </c>
      <c r="J13" s="24">
        <f>SUM(H13:I13)</f>
        <v>320117</v>
      </c>
      <c r="K13" s="180"/>
      <c r="L13" s="180"/>
      <c r="M13" s="182" t="s">
        <v>16</v>
      </c>
    </row>
    <row r="14" spans="1:13" ht="30" customHeight="1">
      <c r="A14" s="178"/>
      <c r="B14" s="187" t="s">
        <v>17</v>
      </c>
      <c r="C14" s="188"/>
      <c r="D14" s="39">
        <f>'[2]LSOkt'!$D$14</f>
        <v>337701</v>
      </c>
      <c r="E14" s="40">
        <f>'[2]LSOkt'!$E$14</f>
        <v>114</v>
      </c>
      <c r="F14" s="41">
        <f>SUM(D14:E14)</f>
        <v>337815</v>
      </c>
      <c r="G14" s="287">
        <f>_xlfn.IFERROR((F14-J14)/J14*100,IF(F14-J14=0,0,100))</f>
        <v>532.7545515846258</v>
      </c>
      <c r="H14" s="39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52569</v>
      </c>
      <c r="I14" s="40">
        <f>GETPIVOTDATA("[Measures].[Sum of EnteredValue]",'[4]VorigeOkt'!$B$5,"[VorigeOkt].[ReturnItem]","[VorigeOkt].[ReturnItem].&amp;[A_2_1_ProducerDeliveriesDirectlyFromFarms]","[VorigeOkt].[Description]","[VorigeOkt].[Description].&amp;[Animal Feed]")</f>
        <v>819</v>
      </c>
      <c r="J14" s="41">
        <f>SUM(H14:I14)</f>
        <v>53388</v>
      </c>
      <c r="K14" s="189"/>
      <c r="L14" s="190" t="s">
        <v>18</v>
      </c>
      <c r="M14" s="185"/>
    </row>
    <row r="15" spans="1:13" ht="30" customHeight="1" thickBot="1">
      <c r="A15" s="178"/>
      <c r="B15" s="191" t="s">
        <v>19</v>
      </c>
      <c r="C15" s="192"/>
      <c r="D15" s="46">
        <f>'[2]LSOkt'!$D$15</f>
        <v>266729</v>
      </c>
      <c r="E15" s="107">
        <f>'[2]LSOkt'!$E$15</f>
        <v>0</v>
      </c>
      <c r="F15" s="48">
        <f>SUM(D15:E15)</f>
        <v>266729</v>
      </c>
      <c r="G15" s="288">
        <f>_xlfn.IFERROR((F15-J15)/J15*100,IF(F15-J15=0,0,100))</f>
        <v>0</v>
      </c>
      <c r="H15" s="46">
        <f>'[3]VorigeInvoere'!$B$11</f>
        <v>266729</v>
      </c>
      <c r="I15" s="107">
        <f>'[3]VorigeVerwerkMenslik'!$C$11</f>
        <v>0</v>
      </c>
      <c r="J15" s="48">
        <f>SUM(H15:I15)</f>
        <v>266729</v>
      </c>
      <c r="K15" s="193"/>
      <c r="L15" s="194" t="s">
        <v>20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23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21</v>
      </c>
      <c r="B17" s="195"/>
      <c r="C17" s="186"/>
      <c r="D17" s="22">
        <f>SUM(D19:D25)</f>
        <v>258168</v>
      </c>
      <c r="E17" s="34">
        <f>SUM(E19:E25)</f>
        <v>237</v>
      </c>
      <c r="F17" s="25">
        <f>SUM(D17:E17)</f>
        <v>258405</v>
      </c>
      <c r="G17" s="116">
        <f aca="true" t="shared" si="0" ref="G17:G25">_xlfn.IFERROR((F17-J17)/J17*100,IF(F17-J17=0,0,100))</f>
        <v>-0.012382127946075834</v>
      </c>
      <c r="H17" s="22">
        <f>SUM(H19:H25)</f>
        <v>258239</v>
      </c>
      <c r="I17" s="34">
        <f>SUM(I19:I25)</f>
        <v>198</v>
      </c>
      <c r="J17" s="25">
        <f>SUM(H17:I17)</f>
        <v>258437</v>
      </c>
      <c r="K17" s="180"/>
      <c r="L17" s="180"/>
      <c r="M17" s="182" t="s">
        <v>22</v>
      </c>
    </row>
    <row r="18" spans="1:13" ht="30" customHeight="1">
      <c r="A18" s="178" t="s">
        <v>23</v>
      </c>
      <c r="B18" s="196" t="s">
        <v>24</v>
      </c>
      <c r="C18" s="197"/>
      <c r="D18" s="56">
        <f>SUM(D19:D22)</f>
        <v>258024</v>
      </c>
      <c r="E18" s="40">
        <f>SUM(E19:E22)</f>
        <v>224</v>
      </c>
      <c r="F18" s="35">
        <f>SUM(D18:E18)</f>
        <v>258248</v>
      </c>
      <c r="G18" s="274">
        <f t="shared" si="0"/>
        <v>0.013167372799306002</v>
      </c>
      <c r="H18" s="40">
        <f>SUM(H19:H22)</f>
        <v>258072</v>
      </c>
      <c r="I18" s="40">
        <f>SUM(I19:I22)</f>
        <v>142</v>
      </c>
      <c r="J18" s="35">
        <f>SUM(H18:I18)</f>
        <v>258214</v>
      </c>
      <c r="K18" s="198"/>
      <c r="L18" s="199" t="s">
        <v>25</v>
      </c>
      <c r="M18" s="182"/>
    </row>
    <row r="19" spans="1:13" ht="30" customHeight="1">
      <c r="A19" s="178"/>
      <c r="B19" s="200"/>
      <c r="C19" s="187" t="s">
        <v>26</v>
      </c>
      <c r="D19" s="62">
        <f>'[2]LSOkt'!$D$19</f>
        <v>258024</v>
      </c>
      <c r="E19" s="63">
        <f>'[2]LSOkt'!$E$19</f>
        <v>0</v>
      </c>
      <c r="F19" s="64">
        <f>+E19+D19</f>
        <v>258024</v>
      </c>
      <c r="G19" s="275">
        <f t="shared" si="0"/>
        <v>0</v>
      </c>
      <c r="H19" s="62">
        <f>'[3]VorigeVerwerkMenslik'!$B$11</f>
        <v>258024</v>
      </c>
      <c r="I19" s="63">
        <f>'[3]VorigeVerwerkMenslik'!$C$11</f>
        <v>0</v>
      </c>
      <c r="J19" s="64">
        <f>H19+I19</f>
        <v>258024</v>
      </c>
      <c r="K19" s="190" t="s">
        <v>27</v>
      </c>
      <c r="L19" s="201"/>
      <c r="M19" s="185"/>
    </row>
    <row r="20" spans="1:13" ht="30" customHeight="1">
      <c r="A20" s="178"/>
      <c r="B20" s="202"/>
      <c r="C20" s="203" t="s">
        <v>28</v>
      </c>
      <c r="D20" s="67">
        <f>'[2]LSOkt'!$D$20</f>
        <v>0</v>
      </c>
      <c r="E20" s="68">
        <f>'[2]LSOkt'!$E$20</f>
        <v>224</v>
      </c>
      <c r="F20" s="69">
        <f>+E20+D20</f>
        <v>224</v>
      </c>
      <c r="G20" s="289">
        <f t="shared" si="0"/>
        <v>17.894736842105264</v>
      </c>
      <c r="H20" s="67">
        <f>GETPIVOTDATA("[Measures].[Sum of EnteredValue]",'[4]VorigeOkt'!$B$5,"[VorigeOkt].[ReturnItem]","[VorigeOkt].[ReturnItem].&amp;[A_3_1_B_Animalfeed_WHEAT]","[VorigeOkt].[Description]","[VorigeOkt].[Description].&amp;[Human Consumption]")</f>
        <v>48</v>
      </c>
      <c r="I20" s="68">
        <f>GETPIVOTDATA("[Measures].[Sum of EnteredValue]",'[4]VorigeOkt'!$B$5,"[VorigeOkt].[ReturnItem]","[VorigeOkt].[ReturnItem].&amp;[A_3_1_B_Animalfeed_WHEAT]","[VorigeOkt].[Description]","[VorigeOkt].[Description].&amp;[Animal Feed]")</f>
        <v>142</v>
      </c>
      <c r="J20" s="69">
        <f>H20+I20</f>
        <v>190</v>
      </c>
      <c r="K20" s="204" t="s">
        <v>29</v>
      </c>
      <c r="L20" s="201"/>
      <c r="M20" s="185"/>
    </row>
    <row r="21" spans="1:13" ht="30" customHeight="1">
      <c r="A21" s="178"/>
      <c r="B21" s="202"/>
      <c r="C21" s="203" t="s">
        <v>30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>
        <f t="shared" si="0"/>
        <v>0</v>
      </c>
      <c r="H21" s="67">
        <f>GETPIVOTDATA("[Measures].[Sum of EnteredValue]",'[4]VorigeOkt'!$B$5,"[VorigeOkt].[ReturnItem]","[VorigeOkt].[ReturnItem].&amp;[A_3_1_C_Gristing_WHEAT]","[VorigeOkt].[Description]","[VorigeOkt].[Description].&amp;[Human Consumption]")</f>
        <v>0</v>
      </c>
      <c r="I21" s="68">
        <f>GETPIVOTDATA("[Measures].[Sum of EnteredValue]",'[4]VorigeOkt'!$B$5,"[VorigeOkt].[ReturnItem]","[VorigeOkt].[ReturnItem].&amp;[A_3_1_C_Gristing_WHEAT]","[VorigeOkt].[Description]","[VorigeOkt].[Description].&amp;[Animal Feed]")</f>
        <v>0</v>
      </c>
      <c r="J21" s="69">
        <f>H21+I21</f>
        <v>0</v>
      </c>
      <c r="K21" s="205" t="s">
        <v>31</v>
      </c>
      <c r="L21" s="206"/>
      <c r="M21" s="185"/>
    </row>
    <row r="22" spans="1:13" ht="30" customHeight="1">
      <c r="A22" s="178"/>
      <c r="B22" s="202"/>
      <c r="C22" s="207" t="s">
        <v>32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>
        <f t="shared" si="0"/>
        <v>0</v>
      </c>
      <c r="H22" s="74">
        <f>GETPIVOTDATA("[Measures].[Sum of EnteredValue]",'[4]VorigeOkt'!$B$5,"[VorigeOkt].[ReturnItem]","[VorigeOkt].[ReturnItem].&amp;[A_3_1_D_BioFuel_WHEAT]","[VorigeOkt].[Description]","[VorigeOkt].[Description].&amp;[Human Consumption]")</f>
        <v>0</v>
      </c>
      <c r="I22" s="75">
        <f>GETPIVOTDATA("[Measures].[Sum of EnteredValue]",'[4]VorigeOkt'!$B$5,"[VorigeOkt].[ReturnItem]","[VorigeOkt].[ReturnItem].&amp;[A_3_1_D_BioFuel_WHEAT]","[VorigeOkt].[Description]","[VorigeOkt].[Description].&amp;[Animal Feed]")</f>
        <v>0</v>
      </c>
      <c r="J22" s="76">
        <f>H22+I22</f>
        <v>0</v>
      </c>
      <c r="K22" s="208" t="s">
        <v>33</v>
      </c>
      <c r="L22" s="206"/>
      <c r="M22" s="185"/>
    </row>
    <row r="23" spans="1:13" ht="30" customHeight="1">
      <c r="A23" s="178"/>
      <c r="B23" s="209" t="s">
        <v>34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>
        <f t="shared" si="0"/>
        <v>-30</v>
      </c>
      <c r="H23" s="67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70</v>
      </c>
      <c r="I23" s="68">
        <f>GETPIVOTDATA("[Measures].[Sum of EnteredValue]",'[4]VorigeOkt'!$B$5,"[VorigeOkt].[ReturnItem]","[VorigeOkt].[ReturnItem].&amp;[A_3_4_A_WithdrawnByProducersOwnUtilisation]","[VorigeOkt].[Description]","[VorigeOkt].[Description].&amp;[Animal Feed]")</f>
        <v>0</v>
      </c>
      <c r="J23" s="64">
        <f>H23+I23</f>
        <v>70</v>
      </c>
      <c r="K23" s="184"/>
      <c r="L23" s="206" t="s">
        <v>35</v>
      </c>
      <c r="M23" s="185"/>
    </row>
    <row r="24" spans="1:13" ht="30" customHeight="1">
      <c r="A24" s="178"/>
      <c r="B24" s="209" t="s">
        <v>36</v>
      </c>
      <c r="C24" s="210"/>
      <c r="D24" s="67">
        <f>'[2]LSOkt'!$D$24</f>
        <v>95</v>
      </c>
      <c r="E24" s="68">
        <f>'[2]LSOkt'!$E$24</f>
        <v>13</v>
      </c>
      <c r="F24" s="79">
        <f>SUM(D24:E24)</f>
        <v>108</v>
      </c>
      <c r="G24" s="274">
        <f t="shared" si="0"/>
        <v>-29.411764705882355</v>
      </c>
      <c r="H24" s="67">
        <f>GETPIVOTDATA("[Measures].[Sum of EnteredValue]",'[4]VorigeOkt'!$B$5,"[VorigeOkt].[ReturnItem]","[VorigeOkt].[ReturnItem].&amp;[A_3_4_B_ToEndConsumers]","[VorigeOkt].[Description]","[VorigeOkt].[Description].&amp;[Human Consumption]")</f>
        <v>97</v>
      </c>
      <c r="I24" s="68">
        <f>GETPIVOTDATA("[Measures].[Sum of EnteredValue]",'[4]VorigeOkt'!$B$5,"[VorigeOkt].[ReturnItem]","[VorigeOkt].[ReturnItem].&amp;[A_3_4_B_ToEndConsumers]","[VorigeOkt].[Description]","[VorigeOkt].[Description].&amp;[Animal Feed]")</f>
        <v>56</v>
      </c>
      <c r="J24" s="79">
        <f>SUM(H24:I24)</f>
        <v>153</v>
      </c>
      <c r="K24" s="211"/>
      <c r="L24" s="206" t="s">
        <v>37</v>
      </c>
      <c r="M24" s="185"/>
    </row>
    <row r="25" spans="1:13" ht="30" customHeight="1" thickBot="1">
      <c r="A25" s="178"/>
      <c r="B25" s="212" t="s">
        <v>38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>
        <f t="shared" si="0"/>
        <v>0</v>
      </c>
      <c r="H25" s="46">
        <f>GETPIVOTDATA("[Measures].[Sum of EnteredValue]",'[4]VorigeOkt'!$B$5,"[VorigeOkt].[ReturnItem]","[VorigeOkt].[ReturnItem].&amp;[A_3_4_C_SeedForPlantingPurposes]","[VorigeOkt].[Description]","[VorigeOkt].[Description].&amp;[Human Consumption]")</f>
        <v>0</v>
      </c>
      <c r="I25" s="47">
        <f>GETPIVOTDATA("[Measures].[Sum of EnteredValue]",'[4]VorigeOkt'!$B$5,"[VorigeOkt].[ReturnItem]","[VorigeOkt].[ReturnItem].&amp;[A_3_4_C_SeedForPlantingPurposes]","[VorigeOkt].[Description]","[VorigeOkt].[Description].&amp;[Animal Feed]")</f>
        <v>0</v>
      </c>
      <c r="J25" s="82">
        <f>SUM(H25:I25)</f>
        <v>0</v>
      </c>
      <c r="K25" s="214"/>
      <c r="L25" s="215" t="s">
        <v>39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40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>
        <f aca="true" t="shared" si="2" ref="G27:G33">_xlfn.IFERROR((F27-J27)/J27*100,IF(F27-J27=0,0,100))</f>
        <v>7.170734934180062</v>
      </c>
      <c r="H27" s="39">
        <f>SUM(H28+H31)</f>
        <v>15117</v>
      </c>
      <c r="I27" s="40">
        <f>SUM(I28+I31)</f>
        <v>0</v>
      </c>
      <c r="J27" s="35">
        <f aca="true" t="shared" si="3" ref="J27:J33">SUM(H27:I27)</f>
        <v>15117</v>
      </c>
      <c r="K27" s="183"/>
      <c r="L27" s="183"/>
      <c r="M27" s="216" t="s">
        <v>41</v>
      </c>
    </row>
    <row r="28" spans="1:13" ht="30" customHeight="1">
      <c r="A28" s="178"/>
      <c r="B28" s="196" t="s">
        <v>42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>
        <f t="shared" si="2"/>
        <v>105.859375</v>
      </c>
      <c r="H28" s="56">
        <f>SUM(H29:H30)</f>
        <v>1024</v>
      </c>
      <c r="I28" s="40">
        <f>SUM(I29:I30)</f>
        <v>0</v>
      </c>
      <c r="J28" s="41">
        <f t="shared" si="3"/>
        <v>1024</v>
      </c>
      <c r="K28" s="218"/>
      <c r="L28" s="199" t="s">
        <v>43</v>
      </c>
      <c r="M28" s="182"/>
    </row>
    <row r="29" spans="1:13" ht="30" customHeight="1">
      <c r="A29" s="178"/>
      <c r="B29" s="219"/>
      <c r="C29" s="220" t="s">
        <v>44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>
        <f t="shared" si="2"/>
        <v>105.859375</v>
      </c>
      <c r="H29" s="92">
        <f>GETPIVOTDATA("[Measures].[Sum of EnteredValue]",'[4]VorigeOkt'!$B$5,"[VorigeOkt].[ReturnItem]","[VorigeOkt].[ReturnItem].&amp;[D_1_1_AfricanCountries]","[VorigeOkt].[Description]","[VorigeOkt].[Description].&amp;[Human Consumption]")</f>
        <v>1024</v>
      </c>
      <c r="I29" s="93">
        <f>GETPIVOTDATA("[Measures].[Sum of EnteredValue]",'[4]VorigeOkt'!$B$5,"[VorigeOkt].[ReturnItem]","[VorigeOkt].[ReturnItem].&amp;[D_1_1_AfricanCountries]","[VorigeOkt].[Description]","[VorigeOkt].[Description].&amp;[Animal Feed]")</f>
        <v>0</v>
      </c>
      <c r="J29" s="94">
        <f t="shared" si="3"/>
        <v>1024</v>
      </c>
      <c r="K29" s="221" t="s">
        <v>45</v>
      </c>
      <c r="L29" s="204"/>
      <c r="M29" s="185"/>
    </row>
    <row r="30" spans="1:13" ht="30" customHeight="1">
      <c r="A30" s="178"/>
      <c r="B30" s="219"/>
      <c r="C30" s="222" t="s">
        <v>46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>
        <f t="shared" si="2"/>
        <v>0</v>
      </c>
      <c r="H30" s="97">
        <f>GETPIVOTDATA("[Measures].[Sum of EnteredValue]",'[4]VorigeOkt'!$B$5,"[VorigeOkt].[ReturnItem]","[VorigeOkt].[ReturnItem].&amp;[D_1_2_OtherCountries]","[VorigeOkt].[Description]","[VorigeOkt].[Description].&amp;[Human Consumption]")</f>
        <v>0</v>
      </c>
      <c r="I30" s="98">
        <f>GETPIVOTDATA("[Measures].[Sum of EnteredValue]",'[4]VorigeOkt'!$B$5,"[VorigeOkt].[ReturnItem]","[VorigeOkt].[ReturnItem].&amp;[D_1_2_OtherCountries]","[VorigeOkt].[Description]","[VorigeOkt].[Description].&amp;[Animal Feed]")</f>
        <v>0</v>
      </c>
      <c r="J30" s="99">
        <f t="shared" si="3"/>
        <v>0</v>
      </c>
      <c r="K30" s="208" t="s">
        <v>47</v>
      </c>
      <c r="L30" s="223"/>
      <c r="M30" s="185"/>
    </row>
    <row r="31" spans="1:13" ht="30" customHeight="1">
      <c r="A31" s="178"/>
      <c r="B31" s="209" t="s">
        <v>48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>
        <f t="shared" si="2"/>
        <v>0</v>
      </c>
      <c r="H31" s="102">
        <f>SUM(H32:H33)</f>
        <v>14093</v>
      </c>
      <c r="I31" s="103">
        <f>SUM(I32:I33)</f>
        <v>0</v>
      </c>
      <c r="J31" s="79">
        <f t="shared" si="3"/>
        <v>14093</v>
      </c>
      <c r="K31" s="225"/>
      <c r="L31" s="206" t="s">
        <v>49</v>
      </c>
      <c r="M31" s="185"/>
    </row>
    <row r="32" spans="1:13" ht="30" customHeight="1">
      <c r="A32" s="178"/>
      <c r="B32" s="219"/>
      <c r="C32" s="220" t="s">
        <v>50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51</v>
      </c>
      <c r="L32" s="223"/>
      <c r="M32" s="185"/>
    </row>
    <row r="33" spans="1:13" ht="30" customHeight="1" thickBot="1">
      <c r="A33" s="178"/>
      <c r="B33" s="226"/>
      <c r="C33" s="222" t="s">
        <v>52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>
        <f t="shared" si="2"/>
        <v>0</v>
      </c>
      <c r="H33" s="106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0</v>
      </c>
      <c r="I33" s="107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0</v>
      </c>
      <c r="J33" s="82">
        <f t="shared" si="3"/>
        <v>0</v>
      </c>
      <c r="K33" s="208" t="s">
        <v>53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54</v>
      </c>
      <c r="B35" s="179"/>
      <c r="C35" s="179"/>
      <c r="D35" s="22">
        <f>SUM(D36:D37)</f>
        <v>-1905</v>
      </c>
      <c r="E35" s="34">
        <f>SUM(E36:E37)</f>
        <v>-198</v>
      </c>
      <c r="F35" s="24">
        <f>SUM(F36:F37)</f>
        <v>-2103</v>
      </c>
      <c r="G35" s="110"/>
      <c r="H35" s="23">
        <f>SUM(H36:H37)</f>
        <v>-1905</v>
      </c>
      <c r="I35" s="34">
        <f>SUM(I36:I37)</f>
        <v>-198</v>
      </c>
      <c r="J35" s="24">
        <f>SUM(J36:J37)</f>
        <v>-2103</v>
      </c>
      <c r="K35" s="180"/>
      <c r="L35" s="180"/>
      <c r="M35" s="182" t="s">
        <v>55</v>
      </c>
    </row>
    <row r="36" spans="1:13" ht="30" customHeight="1">
      <c r="A36" s="178"/>
      <c r="B36" s="187" t="s">
        <v>56</v>
      </c>
      <c r="C36" s="188"/>
      <c r="D36" s="67">
        <f>'[2]LSOkt'!$D$36</f>
        <v>352</v>
      </c>
      <c r="E36" s="68">
        <f>'[2]LSOkt'!$E$36</f>
        <v>-171</v>
      </c>
      <c r="F36" s="41">
        <f>SUM(D36:E36)</f>
        <v>181</v>
      </c>
      <c r="G36" s="111"/>
      <c r="H36" s="67">
        <f>'[3]VorigeOntvangstesVersendings'!$B$37</f>
        <v>352</v>
      </c>
      <c r="I36" s="68">
        <f>'[3]VorigeOntvangstesVersendings'!$C$37</f>
        <v>-171</v>
      </c>
      <c r="J36" s="41">
        <f>+H36+I36</f>
        <v>181</v>
      </c>
      <c r="K36" s="189"/>
      <c r="L36" s="190" t="s">
        <v>57</v>
      </c>
      <c r="M36" s="185"/>
    </row>
    <row r="37" spans="1:13" ht="30" customHeight="1" thickBot="1">
      <c r="A37" s="178"/>
      <c r="B37" s="207" t="s">
        <v>92</v>
      </c>
      <c r="C37" s="229"/>
      <c r="D37" s="46">
        <f>'[2]LSOkt'!$D$37</f>
        <v>-2257</v>
      </c>
      <c r="E37" s="107">
        <f>'[2]LSOkt'!$E$37</f>
        <v>-27</v>
      </c>
      <c r="F37" s="48">
        <f>SUM(D37:E37)</f>
        <v>-2284</v>
      </c>
      <c r="G37" s="113"/>
      <c r="H37" s="46">
        <f>'[3]VorigeSurplusTekort'!$B$36</f>
        <v>-2257</v>
      </c>
      <c r="I37" s="107">
        <f>'[3]VorigeSurplusTekort'!$C$36</f>
        <v>-27</v>
      </c>
      <c r="J37" s="48">
        <f>+H37+I37</f>
        <v>-2284</v>
      </c>
      <c r="K37" s="193"/>
      <c r="L37" s="194" t="s">
        <v>93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12" t="str">
        <f>'[1]Datums'!$C$58</f>
        <v>31 Oct/Okt 2014</v>
      </c>
      <c r="E39" s="313"/>
      <c r="F39" s="313"/>
      <c r="G39" s="116"/>
      <c r="H39" s="312" t="str">
        <f>'[1]Datums'!$D$58</f>
        <v>31 Oct/Okt 2013</v>
      </c>
      <c r="I39" s="313"/>
      <c r="J39" s="313"/>
      <c r="K39" s="184"/>
      <c r="L39" s="184"/>
      <c r="M39" s="185"/>
    </row>
    <row r="40" spans="1:13" ht="30" customHeight="1" thickBot="1">
      <c r="A40" s="231" t="s">
        <v>58</v>
      </c>
      <c r="B40" s="232"/>
      <c r="C40" s="232"/>
      <c r="D40" s="22">
        <f>D11+D13-D17-D27-D35</f>
        <v>814477</v>
      </c>
      <c r="E40" s="23">
        <f>E11+E13-E17-E27-E35</f>
        <v>6090</v>
      </c>
      <c r="F40" s="25">
        <f>SUM(D40:E40)</f>
        <v>820567</v>
      </c>
      <c r="G40" s="291">
        <f>_xlfn.IFERROR((F40-J40)/J40*100,IF(F40-J40=0,0,100))</f>
        <v>52.751157872790365</v>
      </c>
      <c r="H40" s="53">
        <f>H11+H13-H17-H27-H35</f>
        <v>530358</v>
      </c>
      <c r="I40" s="34">
        <f>+I11+I13-I17-I27-I35</f>
        <v>6834</v>
      </c>
      <c r="J40" s="25">
        <f>SUM(H40:I40)</f>
        <v>537192</v>
      </c>
      <c r="K40" s="233"/>
      <c r="L40" s="233"/>
      <c r="M40" s="234" t="s">
        <v>59</v>
      </c>
    </row>
    <row r="41" spans="1:13" ht="9" customHeight="1" thickBot="1">
      <c r="A41" s="235"/>
      <c r="B41" s="175"/>
      <c r="C41" s="175"/>
      <c r="D41" s="310"/>
      <c r="E41" s="310"/>
      <c r="F41" s="310"/>
      <c r="G41" s="30"/>
      <c r="H41" s="310"/>
      <c r="I41" s="310"/>
      <c r="J41" s="310"/>
      <c r="K41" s="311"/>
      <c r="L41" s="311"/>
      <c r="M41" s="185"/>
    </row>
    <row r="42" spans="1:13" ht="30" customHeight="1" thickBot="1">
      <c r="A42" s="228" t="s">
        <v>60</v>
      </c>
      <c r="B42" s="179"/>
      <c r="C42" s="179"/>
      <c r="D42" s="53">
        <f>SUM(D43:D44)</f>
        <v>814477</v>
      </c>
      <c r="E42" s="34">
        <f>SUM(E43:E44)</f>
        <v>6090</v>
      </c>
      <c r="F42" s="24">
        <f>SUM(F43:F44)</f>
        <v>820567</v>
      </c>
      <c r="G42" s="291">
        <f>_xlfn.IFERROR((F42-J42)/J42*100,IF(F42-J42=0,0,100))</f>
        <v>0</v>
      </c>
      <c r="H42" s="53">
        <f>SUM(H43:H44)</f>
        <v>814477</v>
      </c>
      <c r="I42" s="34">
        <f>SUM(I43:I44)</f>
        <v>6090</v>
      </c>
      <c r="J42" s="25">
        <f>SUM(H42:I42)</f>
        <v>820567</v>
      </c>
      <c r="K42" s="180"/>
      <c r="L42" s="180"/>
      <c r="M42" s="182" t="s">
        <v>61</v>
      </c>
    </row>
    <row r="43" spans="1:13" ht="30" customHeight="1">
      <c r="A43" s="236"/>
      <c r="B43" s="187" t="s">
        <v>62</v>
      </c>
      <c r="C43" s="188"/>
      <c r="D43" s="39">
        <f>'[2]LSOkt'!$D$43</f>
        <v>539930</v>
      </c>
      <c r="E43" s="68">
        <f>'[2]LSOkt'!$E$43</f>
        <v>5945</v>
      </c>
      <c r="F43" s="69">
        <f>SUM(D43:E43)</f>
        <v>545875</v>
      </c>
      <c r="G43" s="292">
        <f>_xlfn.IFERROR((F43-J43)/J43*100,IF(F43-J43=0,0,100))</f>
        <v>0</v>
      </c>
      <c r="H43" s="68">
        <f>'[3]VorigeEindVoorraadOpberg'!$B$14</f>
        <v>539930</v>
      </c>
      <c r="I43" s="68">
        <f>'[3]VorigeEindVoorraadOpberg'!$C$14</f>
        <v>5945</v>
      </c>
      <c r="J43" s="69">
        <f>SUM(H43:I43)</f>
        <v>545875</v>
      </c>
      <c r="K43" s="189"/>
      <c r="L43" s="190" t="s">
        <v>63</v>
      </c>
      <c r="M43" s="185"/>
    </row>
    <row r="44" spans="1:13" ht="30" customHeight="1" thickBot="1">
      <c r="A44" s="236"/>
      <c r="B44" s="207" t="s">
        <v>64</v>
      </c>
      <c r="C44" s="229"/>
      <c r="D44" s="46">
        <f>'[2]LSOkt'!$D$44</f>
        <v>274547</v>
      </c>
      <c r="E44" s="47">
        <f>'[2]LSOkt'!$E$44</f>
        <v>145</v>
      </c>
      <c r="F44" s="48">
        <f>SUM(D44:E44)</f>
        <v>274692</v>
      </c>
      <c r="G44" s="272">
        <f>_xlfn.IFERROR((F44-J44)/J44*100,IF(F44-J44=0,0,100))</f>
        <v>0</v>
      </c>
      <c r="H44" s="46">
        <f>'[3]VorigeEindVoorraadVerwerk'!$B$14</f>
        <v>274547</v>
      </c>
      <c r="I44" s="47">
        <f>'[3]VorigeEindVoorraadVerwerk'!$C$14</f>
        <v>145</v>
      </c>
      <c r="J44" s="48">
        <f>SUM(H44:I44)</f>
        <v>274692</v>
      </c>
      <c r="K44" s="193"/>
      <c r="L44" s="194" t="s">
        <v>65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66</v>
      </c>
      <c r="B46" s="239"/>
      <c r="C46" s="239"/>
      <c r="D46" s="128"/>
      <c r="E46" s="129"/>
      <c r="F46" s="130" t="s">
        <v>23</v>
      </c>
      <c r="G46" s="240"/>
      <c r="H46" s="128"/>
      <c r="I46" s="129"/>
      <c r="J46" s="130"/>
      <c r="K46" s="175"/>
      <c r="L46" s="175"/>
      <c r="M46" s="241" t="s">
        <v>67</v>
      </c>
    </row>
    <row r="47" spans="1:13" ht="30" customHeight="1">
      <c r="A47" s="228" t="s">
        <v>68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69</v>
      </c>
    </row>
    <row r="48" spans="1:13" ht="30" customHeight="1">
      <c r="A48" s="243"/>
      <c r="B48" s="210" t="s">
        <v>70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71</v>
      </c>
      <c r="M48" s="185"/>
    </row>
    <row r="49" spans="1:13" ht="30" customHeight="1">
      <c r="A49" s="243"/>
      <c r="B49" s="210" t="s">
        <v>94</v>
      </c>
      <c r="C49" s="210"/>
      <c r="D49" s="138">
        <f>'[2]LSOkt'!$D$48</f>
        <v>29695</v>
      </c>
      <c r="E49" s="134">
        <f>'[2]LSOkt'!$E$48</f>
        <v>0</v>
      </c>
      <c r="F49" s="139">
        <f>SUM(D49:E49)</f>
        <v>29695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95</v>
      </c>
      <c r="M49" s="185"/>
    </row>
    <row r="50" spans="1:13" ht="30" customHeight="1">
      <c r="A50" s="243"/>
      <c r="B50" s="210" t="s">
        <v>74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75</v>
      </c>
      <c r="M50" s="185"/>
    </row>
    <row r="51" spans="1:13" ht="30" customHeight="1">
      <c r="A51" s="245" t="s">
        <v>23</v>
      </c>
      <c r="B51" s="210" t="s">
        <v>76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77</v>
      </c>
      <c r="M51" s="185"/>
    </row>
    <row r="52" spans="1:13" ht="30" customHeight="1" thickBot="1">
      <c r="A52" s="247"/>
      <c r="B52" s="248" t="s">
        <v>78</v>
      </c>
      <c r="C52" s="248"/>
      <c r="D52" s="249">
        <f>D48+D49-D50-D51</f>
        <v>12339</v>
      </c>
      <c r="E52" s="148">
        <f>E48+E49-E50-E51</f>
        <v>0</v>
      </c>
      <c r="F52" s="148">
        <f>SUM(D52:E52)</f>
        <v>12339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96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97</v>
      </c>
      <c r="H53" s="308" t="str">
        <f>'[1]KS Afr Notas'!$B$20</f>
        <v>Produsentelewerings direk vanaf plase (ton):</v>
      </c>
      <c r="I53" s="308"/>
      <c r="J53" s="308"/>
      <c r="K53" s="308"/>
      <c r="L53" s="308"/>
      <c r="M53" s="309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337815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06" t="str">
        <f>'[1]KS Afr Notas'!$B$13</f>
        <v>Wheat equivalent.</v>
      </c>
      <c r="B57" s="307"/>
      <c r="C57" s="307"/>
      <c r="D57" s="307"/>
      <c r="E57" s="307"/>
      <c r="F57" s="307"/>
      <c r="G57" s="254" t="s">
        <v>81</v>
      </c>
      <c r="H57" s="308" t="str">
        <f>'[1]KS Afr Notas'!$B$24</f>
        <v>Koring ekwivalent.</v>
      </c>
      <c r="I57" s="308"/>
      <c r="J57" s="308"/>
      <c r="K57" s="308"/>
      <c r="L57" s="308"/>
      <c r="M57" s="309"/>
    </row>
    <row r="58" spans="1:13" ht="30" customHeight="1">
      <c r="A58" s="306" t="str">
        <f>'[1]KS Afr Notas'!$B$14</f>
        <v>Processed for drinkable alcohol included.</v>
      </c>
      <c r="B58" s="307"/>
      <c r="C58" s="307"/>
      <c r="D58" s="307"/>
      <c r="E58" s="307"/>
      <c r="F58" s="307"/>
      <c r="G58" s="255" t="s">
        <v>84</v>
      </c>
      <c r="H58" s="308" t="str">
        <f>'[1]KS Afr Notas'!$B$25</f>
        <v>Verwerk vir drinkbare alkohol ingesluit.</v>
      </c>
      <c r="I58" s="308"/>
      <c r="J58" s="308"/>
      <c r="K58" s="308"/>
      <c r="L58" s="308"/>
      <c r="M58" s="309"/>
    </row>
    <row r="59" spans="1:19" ht="30" customHeight="1">
      <c r="A59" s="306" t="str">
        <f>'[1]KS Afr Notas'!$B$16</f>
        <v>Due to certain market conditions, wheat suitable for human consumption has been used for animal feed.</v>
      </c>
      <c r="B59" s="307"/>
      <c r="C59" s="307"/>
      <c r="D59" s="307"/>
      <c r="E59" s="307"/>
      <c r="F59" s="307"/>
      <c r="G59" s="255" t="s">
        <v>87</v>
      </c>
      <c r="H59" s="308" t="str">
        <f>'[1]KS Afr Notas'!$B$27</f>
        <v>As gevolg van markfaktore is koring wat geskik is vir menslike verbruik in die veevoermark aangewend.</v>
      </c>
      <c r="I59" s="308"/>
      <c r="J59" s="308"/>
      <c r="K59" s="308"/>
      <c r="L59" s="308"/>
      <c r="M59" s="309"/>
      <c r="N59" s="210"/>
      <c r="O59" s="210"/>
      <c r="P59" s="210"/>
      <c r="Q59" s="183"/>
      <c r="R59" s="183"/>
      <c r="S59" s="184"/>
    </row>
    <row r="60" spans="1:19" ht="30" customHeight="1">
      <c r="A60" s="306" t="str">
        <f>'[1]KS Afr Notas'!$B$17</f>
        <v>Also refer to general footnotes.</v>
      </c>
      <c r="B60" s="307"/>
      <c r="C60" s="307"/>
      <c r="D60" s="307"/>
      <c r="E60" s="307"/>
      <c r="F60" s="307"/>
      <c r="G60" s="255" t="s">
        <v>90</v>
      </c>
      <c r="H60" s="308" t="str">
        <f>'[1]KS Afr Notas'!$B$28</f>
        <v>Verwys ook na algemene voetnotas.</v>
      </c>
      <c r="I60" s="308"/>
      <c r="J60" s="308"/>
      <c r="K60" s="308"/>
      <c r="L60" s="308"/>
      <c r="M60" s="309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SheetLayoutView="40" zoomScalePageLayoutView="0" workbookViewId="0" topLeftCell="A1">
      <selection activeCell="I24" sqref="I24"/>
    </sheetView>
  </sheetViews>
  <sheetFormatPr defaultColWidth="9.140625" defaultRowHeight="15"/>
  <cols>
    <col min="1" max="2" width="2.421875" style="1" customWidth="1"/>
    <col min="3" max="3" width="65.003906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3"/>
      <c r="B1" s="364"/>
      <c r="C1" s="365"/>
      <c r="D1" s="372" t="s">
        <v>0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72" t="s">
        <v>111</v>
      </c>
      <c r="R1" s="373"/>
      <c r="S1" s="374"/>
    </row>
    <row r="2" spans="1:19" ht="30">
      <c r="A2" s="366"/>
      <c r="B2" s="367"/>
      <c r="C2" s="368"/>
      <c r="D2" s="382" t="s">
        <v>1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79"/>
      <c r="R2" s="380"/>
      <c r="S2" s="381"/>
    </row>
    <row r="3" spans="1:19" ht="30">
      <c r="A3" s="366"/>
      <c r="B3" s="367"/>
      <c r="C3" s="368"/>
      <c r="D3" s="382" t="s">
        <v>98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79"/>
      <c r="R3" s="380"/>
      <c r="S3" s="381"/>
    </row>
    <row r="4" spans="1:19" ht="30.75" thickBot="1">
      <c r="A4" s="366"/>
      <c r="B4" s="367"/>
      <c r="C4" s="368"/>
      <c r="D4" s="384" t="s">
        <v>2</v>
      </c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79"/>
      <c r="R4" s="380"/>
      <c r="S4" s="381"/>
    </row>
    <row r="5" spans="1:19" ht="30">
      <c r="A5" s="366"/>
      <c r="B5" s="367"/>
      <c r="C5" s="368"/>
      <c r="D5" s="386"/>
      <c r="E5" s="387"/>
      <c r="F5" s="388"/>
      <c r="G5" s="386" t="s">
        <v>112</v>
      </c>
      <c r="H5" s="387"/>
      <c r="I5" s="388"/>
      <c r="J5" s="389" t="s">
        <v>3</v>
      </c>
      <c r="K5" s="387"/>
      <c r="L5" s="387"/>
      <c r="M5" s="2"/>
      <c r="N5" s="389" t="s">
        <v>3</v>
      </c>
      <c r="O5" s="387"/>
      <c r="P5" s="388"/>
      <c r="Q5" s="390">
        <v>42149</v>
      </c>
      <c r="R5" s="391"/>
      <c r="S5" s="392"/>
    </row>
    <row r="6" spans="1:19" ht="30.75" thickBot="1">
      <c r="A6" s="366"/>
      <c r="B6" s="367"/>
      <c r="C6" s="368"/>
      <c r="D6" s="375" t="s">
        <v>108</v>
      </c>
      <c r="E6" s="376"/>
      <c r="F6" s="377"/>
      <c r="G6" s="378" t="s">
        <v>4</v>
      </c>
      <c r="H6" s="376"/>
      <c r="I6" s="377"/>
      <c r="J6" s="378" t="s">
        <v>113</v>
      </c>
      <c r="K6" s="376"/>
      <c r="L6" s="376"/>
      <c r="M6" s="3"/>
      <c r="N6" s="378" t="s">
        <v>114</v>
      </c>
      <c r="O6" s="376"/>
      <c r="P6" s="376"/>
      <c r="Q6" s="393"/>
      <c r="R6" s="391"/>
      <c r="S6" s="392"/>
    </row>
    <row r="7" spans="1:19" ht="30">
      <c r="A7" s="366"/>
      <c r="B7" s="367"/>
      <c r="C7" s="368"/>
      <c r="D7" s="4" t="s">
        <v>5</v>
      </c>
      <c r="E7" s="4" t="s">
        <v>6</v>
      </c>
      <c r="F7" s="5" t="s">
        <v>7</v>
      </c>
      <c r="G7" s="6" t="s">
        <v>5</v>
      </c>
      <c r="H7" s="7" t="s">
        <v>6</v>
      </c>
      <c r="I7" s="5" t="s">
        <v>7</v>
      </c>
      <c r="J7" s="6" t="s">
        <v>5</v>
      </c>
      <c r="K7" s="7" t="s">
        <v>6</v>
      </c>
      <c r="L7" s="8" t="s">
        <v>7</v>
      </c>
      <c r="M7" s="9" t="s">
        <v>8</v>
      </c>
      <c r="N7" s="6" t="s">
        <v>5</v>
      </c>
      <c r="O7" s="7" t="s">
        <v>6</v>
      </c>
      <c r="P7" s="5" t="s">
        <v>7</v>
      </c>
      <c r="Q7" s="393"/>
      <c r="R7" s="391"/>
      <c r="S7" s="392"/>
    </row>
    <row r="8" spans="1:19" ht="30.75" thickBot="1">
      <c r="A8" s="369"/>
      <c r="B8" s="370"/>
      <c r="C8" s="371"/>
      <c r="D8" s="10" t="s">
        <v>9</v>
      </c>
      <c r="E8" s="10" t="s">
        <v>10</v>
      </c>
      <c r="F8" s="269" t="s">
        <v>11</v>
      </c>
      <c r="G8" s="11" t="s">
        <v>9</v>
      </c>
      <c r="H8" s="10" t="s">
        <v>10</v>
      </c>
      <c r="I8" s="269" t="s">
        <v>11</v>
      </c>
      <c r="J8" s="11" t="s">
        <v>9</v>
      </c>
      <c r="K8" s="10" t="s">
        <v>10</v>
      </c>
      <c r="L8" s="268" t="s">
        <v>11</v>
      </c>
      <c r="M8" s="12" t="s">
        <v>12</v>
      </c>
      <c r="N8" s="11" t="s">
        <v>9</v>
      </c>
      <c r="O8" s="10" t="s">
        <v>10</v>
      </c>
      <c r="P8" s="269" t="s">
        <v>11</v>
      </c>
      <c r="Q8" s="394"/>
      <c r="R8" s="395"/>
      <c r="S8" s="396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59" t="s">
        <v>109</v>
      </c>
      <c r="E10" s="360"/>
      <c r="F10" s="361"/>
      <c r="G10" s="359" t="s">
        <v>115</v>
      </c>
      <c r="H10" s="360"/>
      <c r="I10" s="361"/>
      <c r="J10" s="362" t="s">
        <v>99</v>
      </c>
      <c r="K10" s="360"/>
      <c r="L10" s="360"/>
      <c r="M10" s="18"/>
      <c r="N10" s="362" t="s">
        <v>100</v>
      </c>
      <c r="O10" s="360"/>
      <c r="P10" s="361"/>
      <c r="Q10" s="17"/>
      <c r="R10" s="17"/>
      <c r="S10" s="19"/>
    </row>
    <row r="11" spans="1:19" ht="30.75" thickBot="1">
      <c r="A11" s="20" t="s">
        <v>13</v>
      </c>
      <c r="B11" s="21"/>
      <c r="C11" s="21"/>
      <c r="D11" s="22">
        <v>1572271</v>
      </c>
      <c r="E11" s="23">
        <v>4488</v>
      </c>
      <c r="F11" s="24">
        <v>1576759</v>
      </c>
      <c r="G11" s="23">
        <v>1541367</v>
      </c>
      <c r="H11" s="23">
        <v>4536</v>
      </c>
      <c r="I11" s="24">
        <v>1545903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14</v>
      </c>
    </row>
    <row r="12" spans="1:19" ht="30.75" thickBot="1">
      <c r="A12" s="20"/>
      <c r="B12" s="29"/>
      <c r="C12" s="29"/>
      <c r="D12" s="310"/>
      <c r="E12" s="310"/>
      <c r="F12" s="310"/>
      <c r="G12" s="310"/>
      <c r="H12" s="310"/>
      <c r="I12" s="310"/>
      <c r="J12" s="310" t="s">
        <v>116</v>
      </c>
      <c r="K12" s="310"/>
      <c r="L12" s="310"/>
      <c r="M12" s="30"/>
      <c r="N12" s="310" t="s">
        <v>117</v>
      </c>
      <c r="O12" s="310"/>
      <c r="P12" s="310"/>
      <c r="Q12" s="264"/>
      <c r="R12" s="264"/>
      <c r="S12" s="31"/>
    </row>
    <row r="13" spans="1:19" ht="30.75" thickBot="1">
      <c r="A13" s="20" t="s">
        <v>15</v>
      </c>
      <c r="B13" s="32"/>
      <c r="C13" s="32"/>
      <c r="D13" s="33">
        <v>297693</v>
      </c>
      <c r="E13" s="34">
        <v>200</v>
      </c>
      <c r="F13" s="35">
        <v>297893</v>
      </c>
      <c r="G13" s="33">
        <v>181183</v>
      </c>
      <c r="H13" s="34">
        <v>110</v>
      </c>
      <c r="I13" s="35">
        <v>181293</v>
      </c>
      <c r="J13" s="33">
        <v>2946270</v>
      </c>
      <c r="K13" s="34">
        <v>2081</v>
      </c>
      <c r="L13" s="35">
        <v>2948351</v>
      </c>
      <c r="M13" s="270">
        <v>8.283391055563921</v>
      </c>
      <c r="N13" s="34">
        <v>2704538</v>
      </c>
      <c r="O13" s="36">
        <v>18272</v>
      </c>
      <c r="P13" s="24">
        <v>2722810</v>
      </c>
      <c r="Q13" s="26"/>
      <c r="R13" s="26"/>
      <c r="S13" s="28" t="s">
        <v>16</v>
      </c>
    </row>
    <row r="14" spans="1:19" ht="30">
      <c r="A14" s="20"/>
      <c r="B14" s="37" t="s">
        <v>101</v>
      </c>
      <c r="C14" s="38"/>
      <c r="D14" s="39">
        <v>30728</v>
      </c>
      <c r="E14" s="40">
        <v>200</v>
      </c>
      <c r="F14" s="41">
        <v>30928</v>
      </c>
      <c r="G14" s="39">
        <v>15425</v>
      </c>
      <c r="H14" s="40">
        <v>110</v>
      </c>
      <c r="I14" s="41">
        <v>15535</v>
      </c>
      <c r="J14" s="39">
        <v>1685807</v>
      </c>
      <c r="K14" s="40">
        <v>2081</v>
      </c>
      <c r="L14" s="41">
        <v>1687888</v>
      </c>
      <c r="M14" s="271">
        <v>-6.036759433689171</v>
      </c>
      <c r="N14" s="39">
        <v>1778056</v>
      </c>
      <c r="O14" s="40">
        <v>18272</v>
      </c>
      <c r="P14" s="41">
        <v>1796328</v>
      </c>
      <c r="Q14" s="42"/>
      <c r="R14" s="43" t="s">
        <v>102</v>
      </c>
      <c r="S14" s="31"/>
    </row>
    <row r="15" spans="1:19" ht="30.75" thickBot="1">
      <c r="A15" s="20"/>
      <c r="B15" s="44" t="s">
        <v>19</v>
      </c>
      <c r="C15" s="45"/>
      <c r="D15" s="46">
        <v>266965</v>
      </c>
      <c r="E15" s="47">
        <v>0</v>
      </c>
      <c r="F15" s="48">
        <v>266965</v>
      </c>
      <c r="G15" s="46">
        <v>165758</v>
      </c>
      <c r="H15" s="47">
        <v>0</v>
      </c>
      <c r="I15" s="48">
        <v>165758</v>
      </c>
      <c r="J15" s="46">
        <v>1260463</v>
      </c>
      <c r="K15" s="47">
        <v>0</v>
      </c>
      <c r="L15" s="48">
        <v>1260463</v>
      </c>
      <c r="M15" s="272">
        <v>36.04829883365246</v>
      </c>
      <c r="N15" s="46">
        <v>926482</v>
      </c>
      <c r="O15" s="47">
        <v>0</v>
      </c>
      <c r="P15" s="48">
        <v>926482</v>
      </c>
      <c r="Q15" s="49"/>
      <c r="R15" s="50" t="s">
        <v>20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23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21</v>
      </c>
      <c r="B17" s="52"/>
      <c r="C17" s="32"/>
      <c r="D17" s="53">
        <v>286534</v>
      </c>
      <c r="E17" s="34">
        <v>147</v>
      </c>
      <c r="F17" s="25">
        <v>286681</v>
      </c>
      <c r="G17" s="53">
        <v>236092</v>
      </c>
      <c r="H17" s="34">
        <v>419</v>
      </c>
      <c r="I17" s="25">
        <v>236511</v>
      </c>
      <c r="J17" s="53">
        <v>1799061</v>
      </c>
      <c r="K17" s="34">
        <v>1856</v>
      </c>
      <c r="L17" s="25">
        <v>1800917</v>
      </c>
      <c r="M17" s="116">
        <v>-3.7253227969804388</v>
      </c>
      <c r="N17" s="53">
        <v>1857743</v>
      </c>
      <c r="O17" s="34">
        <v>12860</v>
      </c>
      <c r="P17" s="24">
        <v>1870603</v>
      </c>
      <c r="Q17" s="26"/>
      <c r="R17" s="26"/>
      <c r="S17" s="28" t="s">
        <v>22</v>
      </c>
    </row>
    <row r="18" spans="1:19" ht="30">
      <c r="A18" s="20" t="s">
        <v>23</v>
      </c>
      <c r="B18" s="54" t="s">
        <v>24</v>
      </c>
      <c r="C18" s="55"/>
      <c r="D18" s="56">
        <v>274705</v>
      </c>
      <c r="E18" s="57">
        <v>123</v>
      </c>
      <c r="F18" s="40">
        <v>274828</v>
      </c>
      <c r="G18" s="33">
        <v>230733</v>
      </c>
      <c r="H18" s="57">
        <v>183</v>
      </c>
      <c r="I18" s="40">
        <v>230916</v>
      </c>
      <c r="J18" s="33">
        <v>1776375</v>
      </c>
      <c r="K18" s="57">
        <v>1245</v>
      </c>
      <c r="L18" s="58">
        <v>1777620</v>
      </c>
      <c r="M18" s="274">
        <v>-3.9259866580985063</v>
      </c>
      <c r="N18" s="33">
        <v>1837983</v>
      </c>
      <c r="O18" s="57">
        <v>12278</v>
      </c>
      <c r="P18" s="41">
        <v>1850261</v>
      </c>
      <c r="Q18" s="59"/>
      <c r="R18" s="60" t="s">
        <v>25</v>
      </c>
      <c r="S18" s="28"/>
    </row>
    <row r="19" spans="1:19" ht="30">
      <c r="A19" s="20"/>
      <c r="B19" s="61"/>
      <c r="C19" s="37" t="s">
        <v>103</v>
      </c>
      <c r="D19" s="62">
        <v>274693</v>
      </c>
      <c r="E19" s="63">
        <v>0</v>
      </c>
      <c r="F19" s="64">
        <v>274693</v>
      </c>
      <c r="G19" s="62">
        <v>230658</v>
      </c>
      <c r="H19" s="63">
        <v>0</v>
      </c>
      <c r="I19" s="64">
        <v>230658</v>
      </c>
      <c r="J19" s="62">
        <v>1776133</v>
      </c>
      <c r="K19" s="63">
        <v>0</v>
      </c>
      <c r="L19" s="64">
        <v>1776133</v>
      </c>
      <c r="M19" s="275">
        <v>-1.538238941482282</v>
      </c>
      <c r="N19" s="62">
        <v>1803881</v>
      </c>
      <c r="O19" s="63">
        <v>0</v>
      </c>
      <c r="P19" s="64">
        <v>1803881</v>
      </c>
      <c r="Q19" s="43" t="s">
        <v>104</v>
      </c>
      <c r="R19" s="4"/>
      <c r="S19" s="31"/>
    </row>
    <row r="20" spans="1:19" ht="30">
      <c r="A20" s="20"/>
      <c r="B20" s="65"/>
      <c r="C20" s="66" t="s">
        <v>28</v>
      </c>
      <c r="D20" s="67">
        <v>12</v>
      </c>
      <c r="E20" s="68">
        <v>123</v>
      </c>
      <c r="F20" s="69">
        <v>135</v>
      </c>
      <c r="G20" s="67">
        <v>75</v>
      </c>
      <c r="H20" s="68">
        <v>183</v>
      </c>
      <c r="I20" s="69">
        <v>258</v>
      </c>
      <c r="J20" s="67">
        <v>242</v>
      </c>
      <c r="K20" s="68">
        <v>1245</v>
      </c>
      <c r="L20" s="69">
        <v>1487</v>
      </c>
      <c r="M20" s="274">
        <v>-96.79373841045323</v>
      </c>
      <c r="N20" s="67">
        <v>34100</v>
      </c>
      <c r="O20" s="68">
        <v>12278</v>
      </c>
      <c r="P20" s="69">
        <v>46378</v>
      </c>
      <c r="Q20" s="70" t="s">
        <v>29</v>
      </c>
      <c r="R20" s="4"/>
      <c r="S20" s="31"/>
    </row>
    <row r="21" spans="1:19" ht="30">
      <c r="A21" s="20"/>
      <c r="B21" s="65"/>
      <c r="C21" s="66" t="s">
        <v>30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2</v>
      </c>
      <c r="O21" s="68">
        <v>0</v>
      </c>
      <c r="P21" s="69">
        <v>2</v>
      </c>
      <c r="Q21" s="71" t="s">
        <v>31</v>
      </c>
      <c r="R21" s="72"/>
      <c r="S21" s="31"/>
    </row>
    <row r="22" spans="1:19" ht="30">
      <c r="A22" s="20"/>
      <c r="B22" s="65"/>
      <c r="C22" s="73" t="s">
        <v>32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33</v>
      </c>
      <c r="R22" s="72"/>
      <c r="S22" s="31"/>
    </row>
    <row r="23" spans="1:19" ht="30">
      <c r="A23" s="20"/>
      <c r="B23" s="78" t="s">
        <v>34</v>
      </c>
      <c r="C23" s="262"/>
      <c r="D23" s="67">
        <v>216</v>
      </c>
      <c r="E23" s="68">
        <v>3</v>
      </c>
      <c r="F23" s="69">
        <v>219</v>
      </c>
      <c r="G23" s="67">
        <v>47</v>
      </c>
      <c r="H23" s="68">
        <v>0</v>
      </c>
      <c r="I23" s="69">
        <v>47</v>
      </c>
      <c r="J23" s="67">
        <v>1154</v>
      </c>
      <c r="K23" s="68">
        <v>29</v>
      </c>
      <c r="L23" s="69">
        <v>1183</v>
      </c>
      <c r="M23" s="275">
        <v>-51.29682997118156</v>
      </c>
      <c r="N23" s="67">
        <v>2286</v>
      </c>
      <c r="O23" s="68">
        <v>143</v>
      </c>
      <c r="P23" s="69">
        <v>2429</v>
      </c>
      <c r="Q23" s="264"/>
      <c r="R23" s="72" t="s">
        <v>35</v>
      </c>
      <c r="S23" s="31"/>
    </row>
    <row r="24" spans="1:19" ht="30">
      <c r="A24" s="20"/>
      <c r="B24" s="78" t="s">
        <v>36</v>
      </c>
      <c r="C24" s="262"/>
      <c r="D24" s="67">
        <v>276</v>
      </c>
      <c r="E24" s="68">
        <v>21</v>
      </c>
      <c r="F24" s="79">
        <v>297</v>
      </c>
      <c r="G24" s="67">
        <v>339</v>
      </c>
      <c r="H24" s="68">
        <v>236</v>
      </c>
      <c r="I24" s="79">
        <v>575</v>
      </c>
      <c r="J24" s="67">
        <v>1302</v>
      </c>
      <c r="K24" s="68">
        <v>582</v>
      </c>
      <c r="L24" s="79">
        <v>1884</v>
      </c>
      <c r="M24" s="274">
        <v>-6.962962962962963</v>
      </c>
      <c r="N24" s="67">
        <v>1586</v>
      </c>
      <c r="O24" s="68">
        <v>439</v>
      </c>
      <c r="P24" s="79">
        <v>2025</v>
      </c>
      <c r="Q24" s="265"/>
      <c r="R24" s="72" t="s">
        <v>37</v>
      </c>
      <c r="S24" s="31"/>
    </row>
    <row r="25" spans="1:19" ht="30.75" thickBot="1">
      <c r="A25" s="20"/>
      <c r="B25" s="80" t="s">
        <v>38</v>
      </c>
      <c r="C25" s="81"/>
      <c r="D25" s="46">
        <v>11337</v>
      </c>
      <c r="E25" s="47">
        <v>0</v>
      </c>
      <c r="F25" s="82">
        <v>11337</v>
      </c>
      <c r="G25" s="46">
        <v>4973</v>
      </c>
      <c r="H25" s="47">
        <v>0</v>
      </c>
      <c r="I25" s="82">
        <v>4973</v>
      </c>
      <c r="J25" s="46">
        <v>20230</v>
      </c>
      <c r="K25" s="47">
        <v>0</v>
      </c>
      <c r="L25" s="82">
        <v>20230</v>
      </c>
      <c r="M25" s="272">
        <v>27.32880161127895</v>
      </c>
      <c r="N25" s="46">
        <v>15888</v>
      </c>
      <c r="O25" s="47">
        <v>0</v>
      </c>
      <c r="P25" s="82">
        <v>15888</v>
      </c>
      <c r="Q25" s="83"/>
      <c r="R25" s="84" t="s">
        <v>39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40</v>
      </c>
      <c r="B27" s="32"/>
      <c r="C27" s="32"/>
      <c r="D27" s="33">
        <v>36193</v>
      </c>
      <c r="E27" s="86">
        <v>0</v>
      </c>
      <c r="F27" s="35">
        <v>36193</v>
      </c>
      <c r="G27" s="33">
        <v>32718</v>
      </c>
      <c r="H27" s="86">
        <v>0</v>
      </c>
      <c r="I27" s="35">
        <v>32718</v>
      </c>
      <c r="J27" s="33">
        <v>176992</v>
      </c>
      <c r="K27" s="86">
        <v>0</v>
      </c>
      <c r="L27" s="35">
        <v>176992</v>
      </c>
      <c r="M27" s="277">
        <v>17.717637825650304</v>
      </c>
      <c r="N27" s="33">
        <v>150118</v>
      </c>
      <c r="O27" s="86">
        <v>235</v>
      </c>
      <c r="P27" s="35">
        <v>150353</v>
      </c>
      <c r="Q27" s="29"/>
      <c r="R27" s="29"/>
      <c r="S27" s="87" t="s">
        <v>41</v>
      </c>
    </row>
    <row r="28" spans="1:19" ht="30">
      <c r="A28" s="20"/>
      <c r="B28" s="54" t="s">
        <v>105</v>
      </c>
      <c r="C28" s="88"/>
      <c r="D28" s="33">
        <v>912</v>
      </c>
      <c r="E28" s="86">
        <v>0</v>
      </c>
      <c r="F28" s="41">
        <v>912</v>
      </c>
      <c r="G28" s="33">
        <v>1262</v>
      </c>
      <c r="H28" s="86">
        <v>0</v>
      </c>
      <c r="I28" s="41">
        <v>1262</v>
      </c>
      <c r="J28" s="33">
        <v>10188</v>
      </c>
      <c r="K28" s="86">
        <v>0</v>
      </c>
      <c r="L28" s="41">
        <v>10188</v>
      </c>
      <c r="M28" s="111">
        <v>20.94017094017094</v>
      </c>
      <c r="N28" s="33">
        <v>8424</v>
      </c>
      <c r="O28" s="86">
        <v>0</v>
      </c>
      <c r="P28" s="41">
        <v>8424</v>
      </c>
      <c r="Q28" s="89"/>
      <c r="R28" s="60" t="s">
        <v>106</v>
      </c>
      <c r="S28" s="28"/>
    </row>
    <row r="29" spans="1:19" ht="30">
      <c r="A29" s="20"/>
      <c r="B29" s="90"/>
      <c r="C29" s="91" t="s">
        <v>44</v>
      </c>
      <c r="D29" s="92">
        <v>912</v>
      </c>
      <c r="E29" s="93">
        <v>0</v>
      </c>
      <c r="F29" s="94">
        <v>912</v>
      </c>
      <c r="G29" s="92">
        <v>1262</v>
      </c>
      <c r="H29" s="93">
        <v>0</v>
      </c>
      <c r="I29" s="94">
        <v>1262</v>
      </c>
      <c r="J29" s="92">
        <v>10188</v>
      </c>
      <c r="K29" s="93">
        <v>0</v>
      </c>
      <c r="L29" s="94">
        <v>10188</v>
      </c>
      <c r="M29" s="278">
        <v>20.94017094017094</v>
      </c>
      <c r="N29" s="92">
        <v>8424</v>
      </c>
      <c r="O29" s="93">
        <v>0</v>
      </c>
      <c r="P29" s="94">
        <v>8424</v>
      </c>
      <c r="Q29" s="95" t="s">
        <v>45</v>
      </c>
      <c r="R29" s="70"/>
      <c r="S29" s="31"/>
    </row>
    <row r="30" spans="1:19" ht="30">
      <c r="A30" s="20"/>
      <c r="B30" s="90"/>
      <c r="C30" s="96" t="s">
        <v>46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47</v>
      </c>
      <c r="R30" s="100"/>
      <c r="S30" s="31"/>
    </row>
    <row r="31" spans="1:19" ht="30">
      <c r="A31" s="20"/>
      <c r="B31" s="78" t="s">
        <v>48</v>
      </c>
      <c r="C31" s="101"/>
      <c r="D31" s="102">
        <v>35281</v>
      </c>
      <c r="E31" s="103">
        <v>0</v>
      </c>
      <c r="F31" s="79">
        <v>35281</v>
      </c>
      <c r="G31" s="102">
        <v>31456</v>
      </c>
      <c r="H31" s="103">
        <v>0</v>
      </c>
      <c r="I31" s="79">
        <v>31456</v>
      </c>
      <c r="J31" s="102">
        <v>166804</v>
      </c>
      <c r="K31" s="103">
        <v>0</v>
      </c>
      <c r="L31" s="79">
        <v>166804</v>
      </c>
      <c r="M31" s="278">
        <v>17.526368818211925</v>
      </c>
      <c r="N31" s="102">
        <v>141694</v>
      </c>
      <c r="O31" s="103">
        <v>235</v>
      </c>
      <c r="P31" s="79">
        <v>141929</v>
      </c>
      <c r="Q31" s="104"/>
      <c r="R31" s="72" t="s">
        <v>49</v>
      </c>
      <c r="S31" s="31"/>
    </row>
    <row r="32" spans="1:19" ht="30">
      <c r="A32" s="20"/>
      <c r="B32" s="90"/>
      <c r="C32" s="91" t="s">
        <v>50</v>
      </c>
      <c r="D32" s="92">
        <v>35281</v>
      </c>
      <c r="E32" s="93">
        <v>0</v>
      </c>
      <c r="F32" s="94">
        <v>35281</v>
      </c>
      <c r="G32" s="92">
        <v>31456</v>
      </c>
      <c r="H32" s="93">
        <v>0</v>
      </c>
      <c r="I32" s="94">
        <v>31456</v>
      </c>
      <c r="J32" s="92">
        <v>166804</v>
      </c>
      <c r="K32" s="93">
        <v>0</v>
      </c>
      <c r="L32" s="94">
        <v>166804</v>
      </c>
      <c r="M32" s="278">
        <v>17.526368818211925</v>
      </c>
      <c r="N32" s="92">
        <v>141694</v>
      </c>
      <c r="O32" s="93">
        <v>235</v>
      </c>
      <c r="P32" s="94">
        <v>141929</v>
      </c>
      <c r="Q32" s="95" t="s">
        <v>51</v>
      </c>
      <c r="R32" s="100"/>
      <c r="S32" s="31"/>
    </row>
    <row r="33" spans="1:19" ht="30.75" thickBot="1">
      <c r="A33" s="20"/>
      <c r="B33" s="105"/>
      <c r="C33" s="96" t="s">
        <v>52</v>
      </c>
      <c r="D33" s="106">
        <v>0</v>
      </c>
      <c r="E33" s="107">
        <v>0</v>
      </c>
      <c r="F33" s="82">
        <v>0</v>
      </c>
      <c r="G33" s="106">
        <v>0</v>
      </c>
      <c r="H33" s="107">
        <v>0</v>
      </c>
      <c r="I33" s="82">
        <v>0</v>
      </c>
      <c r="J33" s="106">
        <v>0</v>
      </c>
      <c r="K33" s="107">
        <v>0</v>
      </c>
      <c r="L33" s="82">
        <v>0</v>
      </c>
      <c r="M33" s="270">
        <v>0</v>
      </c>
      <c r="N33" s="106">
        <v>0</v>
      </c>
      <c r="O33" s="107">
        <v>0</v>
      </c>
      <c r="P33" s="82">
        <v>0</v>
      </c>
      <c r="Q33" s="77" t="s">
        <v>53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54</v>
      </c>
      <c r="B35" s="21"/>
      <c r="C35" s="21"/>
      <c r="D35" s="53">
        <v>5870</v>
      </c>
      <c r="E35" s="34">
        <v>5</v>
      </c>
      <c r="F35" s="25">
        <v>5875</v>
      </c>
      <c r="G35" s="53">
        <v>7398</v>
      </c>
      <c r="H35" s="34">
        <v>183</v>
      </c>
      <c r="I35" s="25">
        <v>7581</v>
      </c>
      <c r="J35" s="53">
        <v>6386</v>
      </c>
      <c r="K35" s="34">
        <v>2196</v>
      </c>
      <c r="L35" s="25">
        <v>8582</v>
      </c>
      <c r="M35" s="110"/>
      <c r="N35" s="34">
        <v>12041</v>
      </c>
      <c r="O35" s="34">
        <v>-137</v>
      </c>
      <c r="P35" s="25">
        <v>11904</v>
      </c>
      <c r="Q35" s="26"/>
      <c r="R35" s="26"/>
      <c r="S35" s="28" t="s">
        <v>55</v>
      </c>
    </row>
    <row r="36" spans="1:19" ht="30">
      <c r="A36" s="20"/>
      <c r="B36" s="37" t="s">
        <v>56</v>
      </c>
      <c r="C36" s="38"/>
      <c r="D36" s="67">
        <v>7107</v>
      </c>
      <c r="E36" s="68">
        <v>-16</v>
      </c>
      <c r="F36" s="41">
        <v>7091</v>
      </c>
      <c r="G36" s="67">
        <v>7933</v>
      </c>
      <c r="H36" s="68">
        <v>-26</v>
      </c>
      <c r="I36" s="41">
        <v>7907</v>
      </c>
      <c r="J36" s="67">
        <v>18650</v>
      </c>
      <c r="K36" s="68">
        <v>-526</v>
      </c>
      <c r="L36" s="41">
        <v>18124</v>
      </c>
      <c r="M36" s="111"/>
      <c r="N36" s="67">
        <v>13677</v>
      </c>
      <c r="O36" s="68">
        <v>-2465</v>
      </c>
      <c r="P36" s="41">
        <v>11212</v>
      </c>
      <c r="Q36" s="42"/>
      <c r="R36" s="43" t="s">
        <v>57</v>
      </c>
      <c r="S36" s="31"/>
    </row>
    <row r="37" spans="1:19" ht="30.75" thickBot="1">
      <c r="A37" s="20"/>
      <c r="B37" s="73" t="s">
        <v>118</v>
      </c>
      <c r="C37" s="112"/>
      <c r="D37" s="46">
        <v>-1237</v>
      </c>
      <c r="E37" s="47">
        <v>21</v>
      </c>
      <c r="F37" s="48">
        <v>-1216</v>
      </c>
      <c r="G37" s="46">
        <v>-535</v>
      </c>
      <c r="H37" s="47">
        <v>209</v>
      </c>
      <c r="I37" s="48">
        <v>-326</v>
      </c>
      <c r="J37" s="46">
        <v>-12264</v>
      </c>
      <c r="K37" s="107">
        <v>2722</v>
      </c>
      <c r="L37" s="48">
        <v>-9542</v>
      </c>
      <c r="M37" s="113"/>
      <c r="N37" s="46">
        <v>-1636</v>
      </c>
      <c r="O37" s="107">
        <v>2328</v>
      </c>
      <c r="P37" s="48">
        <v>692</v>
      </c>
      <c r="Q37" s="49"/>
      <c r="R37" s="50" t="s">
        <v>119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57" t="s">
        <v>110</v>
      </c>
      <c r="E39" s="358"/>
      <c r="F39" s="358"/>
      <c r="G39" s="357" t="s">
        <v>120</v>
      </c>
      <c r="H39" s="358"/>
      <c r="I39" s="358"/>
      <c r="J39" s="357" t="s">
        <v>120</v>
      </c>
      <c r="K39" s="358"/>
      <c r="L39" s="358"/>
      <c r="M39" s="116"/>
      <c r="N39" s="357" t="s">
        <v>121</v>
      </c>
      <c r="O39" s="358"/>
      <c r="P39" s="358"/>
      <c r="Q39" s="264"/>
      <c r="R39" s="264"/>
      <c r="S39" s="31"/>
    </row>
    <row r="40" spans="1:19" ht="30.75" thickBot="1">
      <c r="A40" s="117" t="s">
        <v>58</v>
      </c>
      <c r="B40" s="118"/>
      <c r="C40" s="118"/>
      <c r="D40" s="53">
        <v>1541367</v>
      </c>
      <c r="E40" s="34">
        <v>4536</v>
      </c>
      <c r="F40" s="23">
        <v>1545903</v>
      </c>
      <c r="G40" s="22">
        <v>1446342</v>
      </c>
      <c r="H40" s="23">
        <v>4044</v>
      </c>
      <c r="I40" s="23">
        <v>1450386</v>
      </c>
      <c r="J40" s="53">
        <v>1446342</v>
      </c>
      <c r="K40" s="53">
        <v>4044</v>
      </c>
      <c r="L40" s="24">
        <v>1450386</v>
      </c>
      <c r="M40" s="272">
        <v>22.99714298555889</v>
      </c>
      <c r="N40" s="53">
        <v>1172233</v>
      </c>
      <c r="O40" s="34">
        <v>6970</v>
      </c>
      <c r="P40" s="24">
        <v>1179203</v>
      </c>
      <c r="Q40" s="119"/>
      <c r="R40" s="119"/>
      <c r="S40" s="120" t="s">
        <v>107</v>
      </c>
    </row>
    <row r="41" spans="1:19" ht="30.75" thickBot="1">
      <c r="A41" s="121"/>
      <c r="B41" s="17"/>
      <c r="C41" s="17"/>
      <c r="D41" s="310"/>
      <c r="E41" s="310"/>
      <c r="F41" s="310"/>
      <c r="G41" s="310"/>
      <c r="H41" s="310"/>
      <c r="I41" s="310"/>
      <c r="J41" s="310"/>
      <c r="K41" s="310"/>
      <c r="L41" s="310"/>
      <c r="M41" s="30"/>
      <c r="N41" s="310"/>
      <c r="O41" s="310"/>
      <c r="P41" s="310"/>
      <c r="Q41" s="350"/>
      <c r="R41" s="350"/>
      <c r="S41" s="31"/>
    </row>
    <row r="42" spans="1:19" ht="30.75" thickBot="1">
      <c r="A42" s="109" t="s">
        <v>60</v>
      </c>
      <c r="B42" s="21"/>
      <c r="C42" s="21"/>
      <c r="D42" s="53">
        <v>1541367</v>
      </c>
      <c r="E42" s="34">
        <v>4536</v>
      </c>
      <c r="F42" s="23">
        <v>1545903</v>
      </c>
      <c r="G42" s="53">
        <v>1446342</v>
      </c>
      <c r="H42" s="34">
        <v>4044</v>
      </c>
      <c r="I42" s="23">
        <v>1450386</v>
      </c>
      <c r="J42" s="53">
        <v>1446342</v>
      </c>
      <c r="K42" s="34">
        <v>4044</v>
      </c>
      <c r="L42" s="24">
        <v>1450386</v>
      </c>
      <c r="M42" s="272">
        <v>22.99714298555889</v>
      </c>
      <c r="N42" s="53">
        <v>1172233</v>
      </c>
      <c r="O42" s="34">
        <v>6970</v>
      </c>
      <c r="P42" s="24">
        <v>1179203</v>
      </c>
      <c r="Q42" s="26"/>
      <c r="R42" s="26"/>
      <c r="S42" s="28" t="s">
        <v>61</v>
      </c>
    </row>
    <row r="43" spans="1:19" ht="30">
      <c r="A43" s="122"/>
      <c r="B43" s="37" t="s">
        <v>62</v>
      </c>
      <c r="C43" s="38"/>
      <c r="D43" s="39">
        <v>1196424</v>
      </c>
      <c r="E43" s="68">
        <v>4406</v>
      </c>
      <c r="F43" s="69">
        <v>1200830</v>
      </c>
      <c r="G43" s="39">
        <v>1082659</v>
      </c>
      <c r="H43" s="68">
        <v>3910</v>
      </c>
      <c r="I43" s="69">
        <v>1086569</v>
      </c>
      <c r="J43" s="39">
        <v>1082659</v>
      </c>
      <c r="K43" s="68">
        <v>3910</v>
      </c>
      <c r="L43" s="69">
        <v>1086569</v>
      </c>
      <c r="M43" s="274">
        <v>22.434310529583502</v>
      </c>
      <c r="N43" s="39">
        <v>881452</v>
      </c>
      <c r="O43" s="68">
        <v>6019</v>
      </c>
      <c r="P43" s="69">
        <v>887471</v>
      </c>
      <c r="Q43" s="42"/>
      <c r="R43" s="43" t="s">
        <v>63</v>
      </c>
      <c r="S43" s="31"/>
    </row>
    <row r="44" spans="1:19" ht="30.75" thickBot="1">
      <c r="A44" s="122"/>
      <c r="B44" s="73" t="s">
        <v>64</v>
      </c>
      <c r="C44" s="112"/>
      <c r="D44" s="46">
        <v>344943</v>
      </c>
      <c r="E44" s="47">
        <v>130</v>
      </c>
      <c r="F44" s="48">
        <v>345073</v>
      </c>
      <c r="G44" s="46">
        <v>363683</v>
      </c>
      <c r="H44" s="47">
        <v>134</v>
      </c>
      <c r="I44" s="48">
        <v>363817</v>
      </c>
      <c r="J44" s="46">
        <v>363683</v>
      </c>
      <c r="K44" s="47">
        <v>134</v>
      </c>
      <c r="L44" s="48">
        <v>363817</v>
      </c>
      <c r="M44" s="274">
        <v>24.7093222546721</v>
      </c>
      <c r="N44" s="46">
        <v>290781</v>
      </c>
      <c r="O44" s="47">
        <v>951</v>
      </c>
      <c r="P44" s="48">
        <v>291732</v>
      </c>
      <c r="Q44" s="49"/>
      <c r="R44" s="50" t="s">
        <v>65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66</v>
      </c>
      <c r="B46" s="127"/>
      <c r="C46" s="127"/>
      <c r="D46" s="128"/>
      <c r="E46" s="129"/>
      <c r="F46" s="130" t="s">
        <v>23</v>
      </c>
      <c r="G46" s="128"/>
      <c r="H46" s="129"/>
      <c r="I46" s="130"/>
      <c r="J46" s="128"/>
      <c r="K46" s="129"/>
      <c r="L46" s="130" t="s">
        <v>23</v>
      </c>
      <c r="M46" s="131"/>
      <c r="N46" s="128"/>
      <c r="O46" s="129"/>
      <c r="P46" s="130"/>
      <c r="Q46" s="17"/>
      <c r="R46" s="17"/>
      <c r="S46" s="132" t="s">
        <v>67</v>
      </c>
    </row>
    <row r="47" spans="1:19" ht="30">
      <c r="A47" s="109" t="s">
        <v>68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69</v>
      </c>
    </row>
    <row r="48" spans="1:19" ht="30">
      <c r="A48" s="137"/>
      <c r="B48" s="262" t="s">
        <v>70</v>
      </c>
      <c r="C48" s="262"/>
      <c r="D48" s="138">
        <v>13838</v>
      </c>
      <c r="E48" s="134">
        <v>0</v>
      </c>
      <c r="F48" s="139">
        <v>13838</v>
      </c>
      <c r="G48" s="138">
        <v>9764</v>
      </c>
      <c r="H48" s="134">
        <v>0</v>
      </c>
      <c r="I48" s="139">
        <v>9764</v>
      </c>
      <c r="J48" s="138">
        <v>3881</v>
      </c>
      <c r="K48" s="134">
        <v>0</v>
      </c>
      <c r="L48" s="139">
        <v>3881</v>
      </c>
      <c r="M48" s="140"/>
      <c r="N48" s="138">
        <v>7404</v>
      </c>
      <c r="O48" s="134">
        <v>0</v>
      </c>
      <c r="P48" s="135">
        <v>7404</v>
      </c>
      <c r="Q48" s="29"/>
      <c r="R48" s="264" t="s">
        <v>71</v>
      </c>
      <c r="S48" s="31"/>
    </row>
    <row r="49" spans="1:19" ht="30">
      <c r="A49" s="137"/>
      <c r="B49" s="262" t="s">
        <v>72</v>
      </c>
      <c r="C49" s="262"/>
      <c r="D49" s="138">
        <v>5245</v>
      </c>
      <c r="E49" s="134">
        <v>0</v>
      </c>
      <c r="F49" s="139">
        <v>5245</v>
      </c>
      <c r="G49" s="138">
        <v>1856</v>
      </c>
      <c r="H49" s="134">
        <v>0</v>
      </c>
      <c r="I49" s="139">
        <v>1856</v>
      </c>
      <c r="J49" s="138">
        <v>73372</v>
      </c>
      <c r="K49" s="134">
        <v>0</v>
      </c>
      <c r="L49" s="139">
        <v>73372</v>
      </c>
      <c r="M49" s="140"/>
      <c r="N49" s="138">
        <v>46511</v>
      </c>
      <c r="O49" s="134">
        <v>0</v>
      </c>
      <c r="P49" s="135">
        <v>46511</v>
      </c>
      <c r="Q49" s="29"/>
      <c r="R49" s="264" t="s">
        <v>73</v>
      </c>
      <c r="S49" s="31"/>
    </row>
    <row r="50" spans="1:19" ht="30">
      <c r="A50" s="137"/>
      <c r="B50" s="262" t="s">
        <v>74</v>
      </c>
      <c r="C50" s="262"/>
      <c r="D50" s="138">
        <v>9319</v>
      </c>
      <c r="E50" s="134">
        <v>0</v>
      </c>
      <c r="F50" s="139">
        <v>9319</v>
      </c>
      <c r="G50" s="138">
        <v>1798</v>
      </c>
      <c r="H50" s="134">
        <v>0</v>
      </c>
      <c r="I50" s="139">
        <v>1798</v>
      </c>
      <c r="J50" s="138">
        <v>67431</v>
      </c>
      <c r="K50" s="134">
        <v>0</v>
      </c>
      <c r="L50" s="139">
        <v>67431</v>
      </c>
      <c r="M50" s="140"/>
      <c r="N50" s="138">
        <v>44162</v>
      </c>
      <c r="O50" s="134">
        <v>0</v>
      </c>
      <c r="P50" s="135">
        <v>44162</v>
      </c>
      <c r="Q50" s="29"/>
      <c r="R50" s="264" t="s">
        <v>75</v>
      </c>
      <c r="S50" s="31"/>
    </row>
    <row r="51" spans="1:19" ht="30">
      <c r="A51" s="141" t="s">
        <v>23</v>
      </c>
      <c r="B51" s="262" t="s">
        <v>76</v>
      </c>
      <c r="C51" s="262"/>
      <c r="D51" s="138">
        <v>0</v>
      </c>
      <c r="E51" s="142">
        <v>0</v>
      </c>
      <c r="F51" s="139">
        <v>0</v>
      </c>
      <c r="G51" s="138">
        <v>0</v>
      </c>
      <c r="H51" s="142">
        <v>0</v>
      </c>
      <c r="I51" s="139">
        <v>0</v>
      </c>
      <c r="J51" s="138">
        <v>0</v>
      </c>
      <c r="K51" s="142">
        <v>0</v>
      </c>
      <c r="L51" s="139">
        <v>0</v>
      </c>
      <c r="M51" s="143"/>
      <c r="N51" s="138">
        <v>-194</v>
      </c>
      <c r="O51" s="142">
        <v>0</v>
      </c>
      <c r="P51" s="135">
        <v>-194</v>
      </c>
      <c r="Q51" s="29"/>
      <c r="R51" s="264" t="s">
        <v>77</v>
      </c>
      <c r="S51" s="31"/>
    </row>
    <row r="52" spans="1:19" ht="30.75" thickBot="1">
      <c r="A52" s="144"/>
      <c r="B52" s="145" t="s">
        <v>78</v>
      </c>
      <c r="C52" s="145"/>
      <c r="D52" s="146">
        <v>9764</v>
      </c>
      <c r="E52" s="147">
        <v>0</v>
      </c>
      <c r="F52" s="148">
        <v>9764</v>
      </c>
      <c r="G52" s="146">
        <v>9822</v>
      </c>
      <c r="H52" s="147">
        <v>0</v>
      </c>
      <c r="I52" s="148">
        <v>9822</v>
      </c>
      <c r="J52" s="146">
        <v>9822</v>
      </c>
      <c r="K52" s="147">
        <v>0</v>
      </c>
      <c r="L52" s="149">
        <v>9822</v>
      </c>
      <c r="M52" s="150"/>
      <c r="N52" s="146">
        <v>9947</v>
      </c>
      <c r="O52" s="147">
        <v>0</v>
      </c>
      <c r="P52" s="149">
        <v>9947</v>
      </c>
      <c r="Q52" s="151"/>
      <c r="R52" s="152" t="s">
        <v>79</v>
      </c>
      <c r="S52" s="125"/>
    </row>
    <row r="53" spans="1:19" ht="30">
      <c r="A53" s="353" t="s">
        <v>80</v>
      </c>
      <c r="B53" s="354"/>
      <c r="C53" s="354"/>
      <c r="D53" s="354"/>
      <c r="E53" s="354"/>
      <c r="F53" s="354"/>
      <c r="G53" s="354"/>
      <c r="H53" s="354"/>
      <c r="I53" s="354"/>
      <c r="J53" s="153" t="s">
        <v>97</v>
      </c>
      <c r="K53" s="262" t="s">
        <v>82</v>
      </c>
      <c r="L53" s="262"/>
      <c r="M53" s="154"/>
      <c r="N53" s="262"/>
      <c r="O53" s="262"/>
      <c r="P53" s="262"/>
      <c r="Q53" s="262"/>
      <c r="R53" s="262"/>
      <c r="S53" s="263"/>
    </row>
    <row r="54" spans="1:19" ht="30">
      <c r="A54" s="353" t="s">
        <v>83</v>
      </c>
      <c r="B54" s="354"/>
      <c r="C54" s="354"/>
      <c r="D54" s="354"/>
      <c r="E54" s="354"/>
      <c r="F54" s="354"/>
      <c r="G54" s="354"/>
      <c r="H54" s="354"/>
      <c r="I54" s="354"/>
      <c r="J54" s="153" t="s">
        <v>81</v>
      </c>
      <c r="K54" s="262" t="s">
        <v>85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265"/>
      <c r="B55" s="264"/>
      <c r="C55" s="264"/>
      <c r="D55" s="264"/>
      <c r="E55" s="264"/>
      <c r="F55" s="264"/>
      <c r="G55" s="264"/>
      <c r="H55" s="264"/>
      <c r="I55" s="264" t="s">
        <v>86</v>
      </c>
      <c r="J55" s="153" t="s">
        <v>84</v>
      </c>
      <c r="K55" s="262" t="s">
        <v>88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353" t="s">
        <v>89</v>
      </c>
      <c r="B56" s="354"/>
      <c r="C56" s="354"/>
      <c r="D56" s="354"/>
      <c r="E56" s="354"/>
      <c r="F56" s="354"/>
      <c r="G56" s="354"/>
      <c r="H56" s="354"/>
      <c r="I56" s="354"/>
      <c r="J56" s="153"/>
      <c r="K56" s="262" t="s">
        <v>91</v>
      </c>
      <c r="L56" s="262"/>
      <c r="M56" s="154"/>
      <c r="N56" s="262"/>
      <c r="O56" s="262"/>
      <c r="P56" s="262"/>
      <c r="Q56" s="262"/>
      <c r="R56" s="262"/>
      <c r="S56" s="263"/>
    </row>
    <row r="57" spans="1:19" ht="30.75" thickBot="1">
      <c r="A57" s="355"/>
      <c r="B57" s="356"/>
      <c r="C57" s="356"/>
      <c r="D57" s="356"/>
      <c r="E57" s="356"/>
      <c r="F57" s="356"/>
      <c r="G57" s="356"/>
      <c r="H57" s="356"/>
      <c r="I57" s="356"/>
      <c r="J57" s="279"/>
      <c r="K57" s="351"/>
      <c r="L57" s="351"/>
      <c r="M57" s="351"/>
      <c r="N57" s="351"/>
      <c r="O57" s="351"/>
      <c r="P57" s="351"/>
      <c r="Q57" s="351"/>
      <c r="R57" s="351"/>
      <c r="S57" s="352"/>
    </row>
    <row r="58" spans="1:19" ht="30">
      <c r="A58" s="280"/>
      <c r="B58" s="281"/>
      <c r="C58" s="281"/>
      <c r="D58" s="282"/>
      <c r="E58" s="282"/>
      <c r="F58" s="282"/>
      <c r="G58" s="282"/>
      <c r="H58" s="282"/>
      <c r="I58" s="283"/>
      <c r="J58" s="282"/>
      <c r="K58" s="282"/>
      <c r="L58" s="282"/>
      <c r="M58" s="284"/>
      <c r="N58" s="282"/>
      <c r="O58" s="282"/>
      <c r="P58" s="282"/>
      <c r="Q58" s="285"/>
      <c r="R58" s="285"/>
      <c r="S58" s="286"/>
    </row>
  </sheetData>
  <sheetProtection selectLockedCells="1"/>
  <mergeCells count="37"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Q41:R41"/>
    <mergeCell ref="K57:S57"/>
    <mergeCell ref="A53:I53"/>
    <mergeCell ref="A54:I54"/>
    <mergeCell ref="A56:I56"/>
    <mergeCell ref="A57:I57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2015-05-21T09:42:31Z</cp:lastPrinted>
  <dcterms:created xsi:type="dcterms:W3CDTF">2013-08-02T12:34:35Z</dcterms:created>
  <dcterms:modified xsi:type="dcterms:W3CDTF">2015-05-22T11:36:42Z</dcterms:modified>
  <cp:category/>
  <cp:version/>
  <cp:contentType/>
  <cp:contentStatus/>
</cp:coreProperties>
</file>