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S:\Bestuur\ADMIN OFFICER - SANET\STATS\Historiese inligting\Historic_PRODUCTS\"/>
    </mc:Choice>
  </mc:AlternateContent>
  <xr:revisionPtr revIDLastSave="0" documentId="13_ncr:1_{61C68CD1-934D-4E4C-A5BF-681208544D12}" xr6:coauthVersionLast="47" xr6:coauthVersionMax="47" xr10:uidLastSave="{00000000-0000-0000-0000-000000000000}"/>
  <bookViews>
    <workbookView xWindow="-108" yWindow="-108" windowWidth="23256" windowHeight="12456" tabRatio="597" xr2:uid="{00000000-000D-0000-FFFF-FFFF00000000}"/>
  </bookViews>
  <sheets>
    <sheet name="White M Products" sheetId="9" r:id="rId1"/>
    <sheet name="Yellow M Products" sheetId="6" r:id="rId2"/>
    <sheet name="WM Meal Chart" sheetId="3" r:id="rId3"/>
    <sheet name="WM Rice Grit Samp Chart" sheetId="4" r:id="rId4"/>
    <sheet name="Whole Maize  Capita" sheetId="11" r:id="rId5"/>
    <sheet name="Usage per capita" sheetId="10" r:id="rId6"/>
    <sheet name="Highlights Maize History" sheetId="5" r:id="rId7"/>
    <sheet name="Historic WM Products" sheetId="8" r:id="rId8"/>
    <sheet name="White Maize Prod BRON"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2" i="6" l="1"/>
  <c r="J32" i="6" s="1"/>
  <c r="I31" i="6" l="1"/>
  <c r="J31" i="6" s="1"/>
  <c r="AC81" i="9" l="1"/>
  <c r="W81" i="9" s="1"/>
  <c r="X81" i="9" s="1"/>
  <c r="AC80" i="9"/>
  <c r="V81" i="9"/>
  <c r="K81" i="9"/>
  <c r="E81" i="9"/>
  <c r="M81" i="9" l="1"/>
  <c r="I30" i="6"/>
  <c r="J30" i="6" s="1"/>
  <c r="I29" i="6"/>
  <c r="J29" i="6" s="1"/>
  <c r="U80" i="9"/>
  <c r="K80" i="9"/>
  <c r="E80" i="9"/>
  <c r="AC79" i="9"/>
  <c r="U79" i="9"/>
  <c r="W79" i="9" s="1"/>
  <c r="X79" i="9" s="1"/>
  <c r="K79" i="9"/>
  <c r="E79" i="9"/>
  <c r="M79" i="9" s="1"/>
  <c r="P79" i="9" s="1"/>
  <c r="W80" i="9" l="1"/>
  <c r="X80" i="9" s="1"/>
  <c r="V80" i="9"/>
  <c r="M80" i="9"/>
  <c r="V79" i="9"/>
  <c r="AC72" i="9" l="1"/>
  <c r="AC73" i="9"/>
  <c r="AC74" i="9"/>
  <c r="AC75" i="9"/>
  <c r="AC76" i="9"/>
  <c r="AC77" i="9"/>
  <c r="AC78" i="9"/>
  <c r="AC71" i="9"/>
  <c r="U78" i="9" l="1"/>
  <c r="K78" i="9"/>
  <c r="E78" i="9"/>
  <c r="W78" i="9" l="1"/>
  <c r="X78" i="9" s="1"/>
  <c r="V78" i="9"/>
  <c r="M78" i="9"/>
  <c r="P78" i="9" s="1"/>
  <c r="U77" i="9" l="1"/>
  <c r="W77" i="9" s="1"/>
  <c r="K77" i="9" l="1"/>
  <c r="K76" i="9"/>
  <c r="K75" i="9"/>
  <c r="K74" i="9"/>
  <c r="I28" i="6" l="1"/>
  <c r="J28" i="6" s="1"/>
  <c r="I27" i="6"/>
  <c r="J27" i="6" s="1"/>
  <c r="U76" i="9"/>
  <c r="W76" i="9" s="1"/>
  <c r="U75" i="9"/>
  <c r="W75" i="9" s="1"/>
  <c r="X76" i="9" l="1"/>
  <c r="E76" i="9"/>
  <c r="M76" i="9" l="1"/>
  <c r="P76" i="9" s="1"/>
  <c r="V76" i="9"/>
  <c r="I26" i="6" l="1"/>
  <c r="J26" i="6" s="1"/>
  <c r="X75" i="9"/>
  <c r="E75" i="9"/>
  <c r="M75" i="9" l="1"/>
  <c r="P75" i="9" s="1"/>
  <c r="V75" i="9"/>
  <c r="U74" i="9" l="1"/>
  <c r="W74" i="9" s="1"/>
  <c r="I25" i="6" l="1"/>
  <c r="J25" i="6" s="1"/>
  <c r="X74" i="9" l="1"/>
  <c r="V74" i="9"/>
  <c r="E74" i="9"/>
  <c r="M74" i="9" s="1"/>
  <c r="P74" i="9" s="1"/>
  <c r="V77" i="9" l="1"/>
  <c r="I24" i="6" l="1"/>
  <c r="J24" i="6" s="1"/>
  <c r="X77" i="9"/>
  <c r="E77" i="9"/>
  <c r="M77" i="9" l="1"/>
  <c r="P77" i="9" s="1"/>
  <c r="U73" i="9" l="1"/>
  <c r="W73" i="9" s="1"/>
  <c r="K73" i="9"/>
  <c r="E73" i="9"/>
  <c r="X73" i="9" l="1"/>
  <c r="V73" i="9"/>
  <c r="M73" i="9"/>
  <c r="Y56" i="2"/>
  <c r="E5" i="2"/>
  <c r="U72" i="9" l="1"/>
  <c r="X72" i="9" l="1"/>
  <c r="W72" i="9"/>
  <c r="V72" i="9"/>
  <c r="P73" i="9"/>
  <c r="U71" i="9" l="1"/>
  <c r="W71" i="9" s="1"/>
  <c r="U70" i="9"/>
  <c r="U69" i="9"/>
  <c r="U68" i="9"/>
  <c r="U67" i="9"/>
  <c r="U66" i="9"/>
  <c r="U65" i="9"/>
  <c r="U64" i="9"/>
  <c r="U63" i="9"/>
  <c r="U62" i="9"/>
  <c r="U61" i="9"/>
  <c r="U60" i="9"/>
  <c r="U59" i="9"/>
  <c r="U58" i="9"/>
  <c r="U57" i="9"/>
  <c r="U56" i="9"/>
  <c r="U55" i="9"/>
  <c r="U54" i="9"/>
  <c r="U53" i="9"/>
  <c r="U52" i="9"/>
  <c r="U51" i="9"/>
  <c r="U50" i="9"/>
  <c r="U49" i="9"/>
  <c r="U48" i="9"/>
  <c r="U47" i="9"/>
  <c r="U46" i="9"/>
  <c r="U45" i="9"/>
  <c r="U44" i="9"/>
  <c r="U42" i="9"/>
  <c r="U41" i="9"/>
  <c r="U40" i="9"/>
  <c r="U39" i="9"/>
  <c r="U38" i="9"/>
  <c r="U37" i="9"/>
  <c r="U36" i="9"/>
  <c r="U35" i="9"/>
  <c r="U34" i="9"/>
  <c r="U33" i="9"/>
  <c r="U32" i="9"/>
  <c r="U31" i="9"/>
  <c r="U30" i="9"/>
  <c r="U29" i="9"/>
  <c r="U28" i="9"/>
  <c r="U27" i="9"/>
  <c r="U26" i="9"/>
  <c r="U25" i="9"/>
  <c r="U24" i="9"/>
  <c r="U23" i="9"/>
  <c r="U22" i="9"/>
  <c r="U21" i="9"/>
  <c r="U20" i="9"/>
  <c r="U19" i="9"/>
  <c r="U18" i="9"/>
  <c r="U17" i="9"/>
  <c r="U16" i="9"/>
  <c r="U15" i="9"/>
  <c r="U14" i="9"/>
  <c r="U13" i="9"/>
  <c r="U12" i="9"/>
  <c r="W12" i="9" s="1"/>
  <c r="X12" i="9" s="1"/>
  <c r="U11" i="9"/>
  <c r="U10" i="9"/>
  <c r="U9" i="9"/>
  <c r="U8" i="9"/>
  <c r="U7" i="9"/>
  <c r="U6" i="9"/>
  <c r="U5" i="9"/>
  <c r="U4" i="9"/>
  <c r="W4" i="9" s="1"/>
  <c r="X4" i="9" s="1"/>
  <c r="U43" i="9"/>
  <c r="V5" i="9" l="1"/>
  <c r="W5" i="9"/>
  <c r="X5" i="9" s="1"/>
  <c r="V13" i="9"/>
  <c r="W13" i="9"/>
  <c r="X13" i="9" s="1"/>
  <c r="V21" i="9"/>
  <c r="W21" i="9"/>
  <c r="X21" i="9" s="1"/>
  <c r="V29" i="9"/>
  <c r="W29" i="9"/>
  <c r="X29" i="9" s="1"/>
  <c r="V37" i="9"/>
  <c r="W37" i="9"/>
  <c r="X37" i="9" s="1"/>
  <c r="V46" i="9"/>
  <c r="W46" i="9"/>
  <c r="X46" i="9" s="1"/>
  <c r="V50" i="9"/>
  <c r="W50" i="9"/>
  <c r="X50" i="9" s="1"/>
  <c r="V54" i="9"/>
  <c r="W54" i="9"/>
  <c r="X54" i="9" s="1"/>
  <c r="V58" i="9"/>
  <c r="W58" i="9"/>
  <c r="X58" i="9" s="1"/>
  <c r="V62" i="9"/>
  <c r="W62" i="9"/>
  <c r="X62" i="9" s="1"/>
  <c r="V66" i="9"/>
  <c r="W66" i="9"/>
  <c r="X66" i="9" s="1"/>
  <c r="V70" i="9"/>
  <c r="W70" i="9"/>
  <c r="X70" i="9" s="1"/>
  <c r="V6" i="9"/>
  <c r="W6" i="9"/>
  <c r="X6" i="9" s="1"/>
  <c r="V10" i="9"/>
  <c r="W10" i="9"/>
  <c r="X10" i="9" s="1"/>
  <c r="V14" i="9"/>
  <c r="W14" i="9"/>
  <c r="X14" i="9" s="1"/>
  <c r="V18" i="9"/>
  <c r="W18" i="9"/>
  <c r="X18" i="9" s="1"/>
  <c r="V22" i="9"/>
  <c r="W22" i="9"/>
  <c r="X22" i="9" s="1"/>
  <c r="V26" i="9"/>
  <c r="W26" i="9"/>
  <c r="X26" i="9" s="1"/>
  <c r="V30" i="9"/>
  <c r="W30" i="9"/>
  <c r="X30" i="9" s="1"/>
  <c r="V34" i="9"/>
  <c r="W34" i="9"/>
  <c r="X34" i="9" s="1"/>
  <c r="V38" i="9"/>
  <c r="W38" i="9"/>
  <c r="X38" i="9" s="1"/>
  <c r="V42" i="9"/>
  <c r="W42" i="9"/>
  <c r="X42" i="9" s="1"/>
  <c r="V47" i="9"/>
  <c r="W47" i="9"/>
  <c r="X47" i="9" s="1"/>
  <c r="V51" i="9"/>
  <c r="W51" i="9"/>
  <c r="X51" i="9" s="1"/>
  <c r="V55" i="9"/>
  <c r="W55" i="9"/>
  <c r="X55" i="9" s="1"/>
  <c r="V59" i="9"/>
  <c r="W59" i="9"/>
  <c r="X59" i="9" s="1"/>
  <c r="V63" i="9"/>
  <c r="W63" i="9"/>
  <c r="X63" i="9" s="1"/>
  <c r="V67" i="9"/>
  <c r="W67" i="9"/>
  <c r="X67" i="9" s="1"/>
  <c r="V71" i="9"/>
  <c r="X71" i="9"/>
  <c r="V8" i="9"/>
  <c r="W8" i="9"/>
  <c r="X8" i="9" s="1"/>
  <c r="V9" i="9"/>
  <c r="W9" i="9"/>
  <c r="X9" i="9" s="1"/>
  <c r="V17" i="9"/>
  <c r="W17" i="9"/>
  <c r="X17" i="9" s="1"/>
  <c r="V25" i="9"/>
  <c r="W25" i="9"/>
  <c r="X25" i="9" s="1"/>
  <c r="V33" i="9"/>
  <c r="W33" i="9"/>
  <c r="X33" i="9" s="1"/>
  <c r="V41" i="9"/>
  <c r="W41" i="9"/>
  <c r="X41" i="9" s="1"/>
  <c r="V43" i="9"/>
  <c r="W43" i="9"/>
  <c r="X43" i="9" s="1"/>
  <c r="V7" i="9"/>
  <c r="W7" i="9"/>
  <c r="X7" i="9" s="1"/>
  <c r="V11" i="9"/>
  <c r="W11" i="9"/>
  <c r="X11" i="9" s="1"/>
  <c r="V15" i="9"/>
  <c r="W15" i="9"/>
  <c r="X15" i="9" s="1"/>
  <c r="V19" i="9"/>
  <c r="W19" i="9"/>
  <c r="X19" i="9" s="1"/>
  <c r="V23" i="9"/>
  <c r="W23" i="9"/>
  <c r="X23" i="9" s="1"/>
  <c r="V27" i="9"/>
  <c r="W27" i="9"/>
  <c r="X27" i="9" s="1"/>
  <c r="V31" i="9"/>
  <c r="W31" i="9"/>
  <c r="X31" i="9" s="1"/>
  <c r="V35" i="9"/>
  <c r="W35" i="9"/>
  <c r="X35" i="9" s="1"/>
  <c r="V39" i="9"/>
  <c r="W39" i="9"/>
  <c r="X39" i="9" s="1"/>
  <c r="V44" i="9"/>
  <c r="W44" i="9"/>
  <c r="X44" i="9" s="1"/>
  <c r="V48" i="9"/>
  <c r="W48" i="9"/>
  <c r="X48" i="9" s="1"/>
  <c r="V52" i="9"/>
  <c r="W52" i="9"/>
  <c r="X52" i="9" s="1"/>
  <c r="V56" i="9"/>
  <c r="W56" i="9"/>
  <c r="X56" i="9" s="1"/>
  <c r="V60" i="9"/>
  <c r="W60" i="9"/>
  <c r="X60" i="9" s="1"/>
  <c r="V64" i="9"/>
  <c r="W64" i="9"/>
  <c r="X64" i="9" s="1"/>
  <c r="V68" i="9"/>
  <c r="W68" i="9"/>
  <c r="X68" i="9" s="1"/>
  <c r="V4" i="9"/>
  <c r="V16" i="9"/>
  <c r="W16" i="9"/>
  <c r="X16" i="9" s="1"/>
  <c r="V20" i="9"/>
  <c r="W20" i="9"/>
  <c r="X20" i="9" s="1"/>
  <c r="V24" i="9"/>
  <c r="W24" i="9"/>
  <c r="X24" i="9" s="1"/>
  <c r="V28" i="9"/>
  <c r="W28" i="9"/>
  <c r="X28" i="9" s="1"/>
  <c r="V32" i="9"/>
  <c r="W32" i="9"/>
  <c r="X32" i="9" s="1"/>
  <c r="V36" i="9"/>
  <c r="W36" i="9"/>
  <c r="X36" i="9" s="1"/>
  <c r="V40" i="9"/>
  <c r="W40" i="9"/>
  <c r="X40" i="9" s="1"/>
  <c r="V45" i="9"/>
  <c r="W45" i="9"/>
  <c r="X45" i="9" s="1"/>
  <c r="V49" i="9"/>
  <c r="W49" i="9"/>
  <c r="X49" i="9" s="1"/>
  <c r="V53" i="9"/>
  <c r="W53" i="9"/>
  <c r="X53" i="9" s="1"/>
  <c r="V57" i="9"/>
  <c r="W57" i="9"/>
  <c r="X57" i="9" s="1"/>
  <c r="V61" i="9"/>
  <c r="W61" i="9"/>
  <c r="X61" i="9" s="1"/>
  <c r="V65" i="9"/>
  <c r="W65" i="9"/>
  <c r="X65" i="9" s="1"/>
  <c r="V69" i="9"/>
  <c r="W69" i="9"/>
  <c r="X69" i="9" s="1"/>
  <c r="V12" i="9"/>
  <c r="K42" i="9"/>
  <c r="E42" i="9"/>
  <c r="E45" i="9"/>
  <c r="M42" i="9" l="1"/>
  <c r="M72" i="9"/>
  <c r="P72" i="9" s="1"/>
  <c r="M71" i="9"/>
  <c r="P71" i="9" s="1"/>
  <c r="K41" i="9" l="1"/>
  <c r="K43" i="9"/>
  <c r="K44" i="9"/>
  <c r="K45" i="9"/>
  <c r="K46" i="9"/>
  <c r="K47" i="9"/>
  <c r="K48" i="9"/>
  <c r="K49" i="9"/>
  <c r="K50" i="9"/>
  <c r="K51" i="9"/>
  <c r="K16" i="9"/>
  <c r="K17" i="9"/>
  <c r="K18" i="9"/>
  <c r="K19" i="9"/>
  <c r="K20" i="9"/>
  <c r="K21" i="9"/>
  <c r="K22" i="9"/>
  <c r="K23" i="9"/>
  <c r="K24" i="9"/>
  <c r="K25" i="9"/>
  <c r="K26" i="9"/>
  <c r="K27" i="9"/>
  <c r="K28" i="9"/>
  <c r="K29" i="9"/>
  <c r="K30" i="9"/>
  <c r="K31" i="9"/>
  <c r="K32" i="9"/>
  <c r="K33" i="9"/>
  <c r="K34" i="9"/>
  <c r="K35" i="9"/>
  <c r="K36" i="9"/>
  <c r="K37" i="9"/>
  <c r="K38" i="9"/>
  <c r="K39" i="9"/>
  <c r="K40" i="9"/>
  <c r="K15" i="9"/>
  <c r="E5" i="9"/>
  <c r="M5" i="9" s="1"/>
  <c r="P5" i="9" s="1"/>
  <c r="E6" i="9"/>
  <c r="M6" i="9" s="1"/>
  <c r="P6" i="9" s="1"/>
  <c r="E7" i="9"/>
  <c r="M7" i="9" s="1"/>
  <c r="P7" i="9" s="1"/>
  <c r="E8" i="9"/>
  <c r="M8" i="9" s="1"/>
  <c r="P8" i="9" s="1"/>
  <c r="E9" i="9"/>
  <c r="M9" i="9" s="1"/>
  <c r="P9" i="9" s="1"/>
  <c r="E10" i="9"/>
  <c r="M10" i="9" s="1"/>
  <c r="P10" i="9" s="1"/>
  <c r="E11" i="9"/>
  <c r="M11" i="9" s="1"/>
  <c r="P11" i="9" s="1"/>
  <c r="E12" i="9"/>
  <c r="M12" i="9" s="1"/>
  <c r="P12" i="9" s="1"/>
  <c r="E13" i="9"/>
  <c r="M13" i="9" s="1"/>
  <c r="P13" i="9" s="1"/>
  <c r="E14" i="9"/>
  <c r="M14" i="9" s="1"/>
  <c r="P14" i="9" s="1"/>
  <c r="E15" i="9"/>
  <c r="E16" i="9"/>
  <c r="E17" i="9"/>
  <c r="E18" i="9"/>
  <c r="E19" i="9"/>
  <c r="E20" i="9"/>
  <c r="E21" i="9"/>
  <c r="E22" i="9"/>
  <c r="E23" i="9"/>
  <c r="E24" i="9"/>
  <c r="E25" i="9"/>
  <c r="E26" i="9"/>
  <c r="E27" i="9"/>
  <c r="E28" i="9"/>
  <c r="E29" i="9"/>
  <c r="E30" i="9"/>
  <c r="E31" i="9"/>
  <c r="E32" i="9"/>
  <c r="E33" i="9"/>
  <c r="E34" i="9"/>
  <c r="E35" i="9"/>
  <c r="E36" i="9"/>
  <c r="E37" i="9"/>
  <c r="E38" i="9"/>
  <c r="E39" i="9"/>
  <c r="E40" i="9"/>
  <c r="E41" i="9"/>
  <c r="E43" i="9"/>
  <c r="E44" i="9"/>
  <c r="E46" i="9"/>
  <c r="E47" i="9"/>
  <c r="E48" i="9"/>
  <c r="E49" i="9"/>
  <c r="E50" i="9"/>
  <c r="E51" i="9"/>
  <c r="E4" i="9"/>
  <c r="M4" i="9" s="1"/>
  <c r="P4" i="9" s="1"/>
  <c r="M15" i="9" l="1"/>
  <c r="P15" i="9" s="1"/>
  <c r="M24" i="9"/>
  <c r="P24" i="9" s="1"/>
  <c r="M47" i="9"/>
  <c r="P47" i="9" s="1"/>
  <c r="M43" i="9"/>
  <c r="P43" i="9" s="1"/>
  <c r="M39" i="9"/>
  <c r="P39" i="9" s="1"/>
  <c r="M35" i="9"/>
  <c r="P35" i="9" s="1"/>
  <c r="M31" i="9"/>
  <c r="P31" i="9" s="1"/>
  <c r="M27" i="9"/>
  <c r="P27" i="9" s="1"/>
  <c r="M23" i="9"/>
  <c r="P23" i="9" s="1"/>
  <c r="M19" i="9"/>
  <c r="P19" i="9" s="1"/>
  <c r="M51" i="9"/>
  <c r="P51" i="9" s="1"/>
  <c r="M20" i="9"/>
  <c r="P20" i="9" s="1"/>
  <c r="M16" i="9"/>
  <c r="P16" i="9" s="1"/>
  <c r="M38" i="9"/>
  <c r="P38" i="9" s="1"/>
  <c r="M22" i="9"/>
  <c r="P22" i="9" s="1"/>
  <c r="M18" i="9"/>
  <c r="P18" i="9" s="1"/>
  <c r="M49" i="9"/>
  <c r="P49" i="9" s="1"/>
  <c r="M45" i="9"/>
  <c r="P45" i="9" s="1"/>
  <c r="M41" i="9"/>
  <c r="P41" i="9" s="1"/>
  <c r="M37" i="9"/>
  <c r="P37" i="9" s="1"/>
  <c r="M33" i="9"/>
  <c r="P33" i="9" s="1"/>
  <c r="M29" i="9"/>
  <c r="P29" i="9" s="1"/>
  <c r="M25" i="9"/>
  <c r="P25" i="9" s="1"/>
  <c r="M21" i="9"/>
  <c r="P21" i="9" s="1"/>
  <c r="M17" i="9"/>
  <c r="P17" i="9" s="1"/>
  <c r="M48" i="9"/>
  <c r="P48" i="9" s="1"/>
  <c r="M44" i="9"/>
  <c r="P44" i="9" s="1"/>
  <c r="M40" i="9"/>
  <c r="P40" i="9" s="1"/>
  <c r="M36" i="9"/>
  <c r="P36" i="9" s="1"/>
  <c r="M32" i="9"/>
  <c r="P32" i="9" s="1"/>
  <c r="M28" i="9"/>
  <c r="P28" i="9" s="1"/>
  <c r="M50" i="9"/>
  <c r="P50" i="9" s="1"/>
  <c r="M46" i="9"/>
  <c r="P46" i="9" s="1"/>
  <c r="P42" i="9"/>
  <c r="M34" i="9"/>
  <c r="P34" i="9" s="1"/>
  <c r="M30" i="9"/>
  <c r="P30" i="9" s="1"/>
  <c r="M26" i="9"/>
  <c r="P26" i="9" s="1"/>
  <c r="I22" i="6"/>
  <c r="J22" i="6" s="1"/>
  <c r="I23" i="6"/>
  <c r="J23" i="6" s="1"/>
  <c r="Y34" i="2" l="1"/>
  <c r="N10" i="8"/>
  <c r="N11" i="8"/>
  <c r="N12" i="8"/>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 i="8"/>
  <c r="N6" i="8"/>
  <c r="N7" i="8"/>
  <c r="N8" i="8"/>
  <c r="N9" i="8"/>
  <c r="N4" i="8"/>
  <c r="W5" i="2"/>
  <c r="Y55" i="2"/>
  <c r="P57" i="2"/>
  <c r="Y30" i="2"/>
  <c r="Y35" i="2"/>
  <c r="Y36" i="2"/>
  <c r="Y54" i="2"/>
  <c r="C21" i="2" l="1"/>
  <c r="C6" i="2" l="1"/>
  <c r="C7" i="2"/>
  <c r="C8" i="2"/>
  <c r="C9" i="2"/>
  <c r="C10" i="2"/>
  <c r="C11" i="2"/>
  <c r="C12" i="2"/>
  <c r="C13" i="2"/>
  <c r="C14" i="2"/>
  <c r="C15" i="2"/>
  <c r="C16" i="2"/>
  <c r="C17" i="2"/>
  <c r="C18" i="2"/>
  <c r="C19" i="2"/>
  <c r="C20" i="2"/>
  <c r="C57" i="2" l="1"/>
  <c r="T33" i="2"/>
  <c r="Y33" i="2" s="1"/>
  <c r="R18" i="2" l="1"/>
  <c r="R17" i="2"/>
  <c r="R16" i="2"/>
  <c r="N18" i="2"/>
  <c r="N17" i="2"/>
  <c r="N16" i="2"/>
  <c r="L18" i="2"/>
  <c r="L17" i="2"/>
  <c r="L16" i="2"/>
  <c r="S18" i="2"/>
  <c r="T18" i="2" s="1"/>
  <c r="S17" i="2"/>
  <c r="T17" i="2" s="1"/>
  <c r="S16" i="2"/>
  <c r="T16" i="2" s="1"/>
  <c r="N19" i="2"/>
  <c r="L19" i="2"/>
  <c r="S19" i="2"/>
  <c r="T19" i="2" s="1"/>
  <c r="S21" i="2"/>
  <c r="T21" i="2" s="1"/>
  <c r="S20" i="2"/>
  <c r="T20" i="2" s="1"/>
  <c r="R21" i="2"/>
  <c r="R20" i="2"/>
  <c r="R19" i="2"/>
  <c r="N21" i="2"/>
  <c r="N20" i="2"/>
  <c r="L21" i="2"/>
  <c r="L20" i="2"/>
  <c r="T22" i="2"/>
  <c r="Y22" i="2" s="1"/>
  <c r="T23" i="2"/>
  <c r="Y23" i="2" s="1"/>
  <c r="T24" i="2"/>
  <c r="Y24" i="2" s="1"/>
  <c r="T25" i="2"/>
  <c r="Y25" i="2" s="1"/>
  <c r="T26" i="2"/>
  <c r="Y26" i="2" s="1"/>
  <c r="T32" i="2"/>
  <c r="Y32" i="2" s="1"/>
  <c r="T31" i="2"/>
  <c r="Y31" i="2" s="1"/>
  <c r="T29" i="2"/>
  <c r="Y29" i="2" s="1"/>
  <c r="T28" i="2"/>
  <c r="Y28" i="2" s="1"/>
  <c r="T27" i="2"/>
  <c r="Y27" i="2" s="1"/>
  <c r="T52" i="2"/>
  <c r="Y52" i="2" s="1"/>
  <c r="T51" i="2"/>
  <c r="Y51" i="2" s="1"/>
  <c r="T50" i="2"/>
  <c r="Y50" i="2" s="1"/>
  <c r="T49" i="2"/>
  <c r="Y49" i="2" s="1"/>
  <c r="T48" i="2"/>
  <c r="Y48" i="2" s="1"/>
  <c r="T47" i="2"/>
  <c r="Y47" i="2" s="1"/>
  <c r="T46" i="2"/>
  <c r="Y46" i="2" s="1"/>
  <c r="T45" i="2"/>
  <c r="Y45" i="2" s="1"/>
  <c r="T44" i="2"/>
  <c r="Y44" i="2" s="1"/>
  <c r="T43" i="2"/>
  <c r="Y43" i="2" s="1"/>
  <c r="T42" i="2"/>
  <c r="Y42" i="2" s="1"/>
  <c r="T41" i="2"/>
  <c r="Y41" i="2" s="1"/>
  <c r="T40" i="2"/>
  <c r="Y40" i="2" s="1"/>
  <c r="T39" i="2"/>
  <c r="Y39" i="2" s="1"/>
  <c r="T37" i="2"/>
  <c r="Y37" i="2" s="1"/>
  <c r="T38" i="2"/>
  <c r="Y38" i="2" s="1"/>
  <c r="U21" i="2"/>
  <c r="U20" i="2"/>
  <c r="I21" i="2"/>
  <c r="G21" i="2"/>
  <c r="E21" i="2"/>
  <c r="W6" i="2"/>
  <c r="X6" i="2" s="1"/>
  <c r="X5" i="2"/>
  <c r="U6" i="2"/>
  <c r="V6" i="2" s="1"/>
  <c r="U5" i="2"/>
  <c r="V5" i="2" s="1"/>
  <c r="I12" i="2"/>
  <c r="G12" i="2"/>
  <c r="W8" i="2"/>
  <c r="X8" i="2" s="1"/>
  <c r="W7" i="2"/>
  <c r="X7" i="2" s="1"/>
  <c r="U8" i="2"/>
  <c r="V8" i="2" s="1"/>
  <c r="U7" i="2"/>
  <c r="V7" i="2" s="1"/>
  <c r="W10" i="2"/>
  <c r="X10" i="2" s="1"/>
  <c r="W9" i="2"/>
  <c r="X9" i="2" s="1"/>
  <c r="U10" i="2"/>
  <c r="V10" i="2" s="1"/>
  <c r="U9" i="2"/>
  <c r="V9" i="2" s="1"/>
  <c r="E6" i="2"/>
  <c r="E7" i="2"/>
  <c r="E8" i="2"/>
  <c r="E9" i="2"/>
  <c r="E10" i="2"/>
  <c r="E11" i="2"/>
  <c r="E12" i="2"/>
  <c r="E14" i="2"/>
  <c r="E13" i="2"/>
  <c r="W12" i="2"/>
  <c r="X12" i="2" s="1"/>
  <c r="U12" i="2"/>
  <c r="V12" i="2" s="1"/>
  <c r="U11" i="2"/>
  <c r="V11" i="2" s="1"/>
  <c r="X11" i="2"/>
  <c r="I6" i="2"/>
  <c r="I7" i="2"/>
  <c r="I8" i="2"/>
  <c r="I9" i="2"/>
  <c r="I10" i="2"/>
  <c r="I11" i="2"/>
  <c r="I5" i="2"/>
  <c r="G6" i="2"/>
  <c r="G7" i="2"/>
  <c r="G8" i="2"/>
  <c r="G9" i="2"/>
  <c r="G10" i="2"/>
  <c r="G11" i="2"/>
  <c r="G5" i="2"/>
  <c r="W14" i="2"/>
  <c r="X14" i="2" s="1"/>
  <c r="W13" i="2"/>
  <c r="X13" i="2" s="1"/>
  <c r="U14" i="2"/>
  <c r="U13" i="2"/>
  <c r="V13" i="2" s="1"/>
  <c r="W15" i="2"/>
  <c r="X15" i="2" s="1"/>
  <c r="U15" i="2"/>
  <c r="V15" i="2" s="1"/>
  <c r="I14" i="2"/>
  <c r="I13" i="2"/>
  <c r="G14" i="2"/>
  <c r="G13" i="2"/>
  <c r="V14" i="2"/>
  <c r="I16" i="2"/>
  <c r="I17" i="2"/>
  <c r="I18" i="2"/>
  <c r="I19" i="2"/>
  <c r="I20" i="2"/>
  <c r="I15" i="2"/>
  <c r="G16" i="2"/>
  <c r="G17" i="2"/>
  <c r="G18" i="2"/>
  <c r="G19" i="2"/>
  <c r="G20" i="2"/>
  <c r="G15" i="2"/>
  <c r="E16" i="2"/>
  <c r="E17" i="2"/>
  <c r="E18" i="2"/>
  <c r="Y18" i="2" s="1"/>
  <c r="E19" i="2"/>
  <c r="E20" i="2"/>
  <c r="Y20" i="2" s="1"/>
  <c r="E15" i="2"/>
  <c r="Y21" i="2" l="1"/>
  <c r="Y10" i="2"/>
  <c r="R57" i="2"/>
  <c r="Y15" i="2"/>
  <c r="Y17" i="2"/>
  <c r="I57" i="2"/>
  <c r="Y14" i="2"/>
  <c r="Y9" i="2"/>
  <c r="N57" i="2"/>
  <c r="Y13" i="2"/>
  <c r="Y6" i="2"/>
  <c r="V57" i="2"/>
  <c r="Y5" i="2"/>
  <c r="E57" i="2"/>
  <c r="Y16" i="2"/>
  <c r="G57" i="2"/>
  <c r="Y12" i="2"/>
  <c r="Y8" i="2"/>
  <c r="X57" i="2"/>
  <c r="L57" i="2"/>
  <c r="Y19" i="2"/>
  <c r="Y11" i="2"/>
  <c r="Y7" i="2"/>
  <c r="T57" i="2"/>
  <c r="Z57" i="2" l="1"/>
  <c r="Y57" i="2"/>
</calcChain>
</file>

<file path=xl/sharedStrings.xml><?xml version="1.0" encoding="utf-8"?>
<sst xmlns="http://schemas.openxmlformats.org/spreadsheetml/2006/main" count="461" uniqueCount="267">
  <si>
    <t>1949/50</t>
  </si>
  <si>
    <t>1950/51</t>
  </si>
  <si>
    <t>1951/52</t>
  </si>
  <si>
    <t>1952/53</t>
  </si>
  <si>
    <t>1953/54</t>
  </si>
  <si>
    <t>Maize
Chop</t>
  </si>
  <si>
    <t>Maize
Rice</t>
  </si>
  <si>
    <t>Maize
Grits</t>
  </si>
  <si>
    <t>Samp</t>
  </si>
  <si>
    <t>Sifted
Maize
Meal</t>
  </si>
  <si>
    <t>Special
Maize
Meal</t>
  </si>
  <si>
    <t>Super
Maize
Meal</t>
  </si>
  <si>
    <t>Unsifted
Maize
Meal</t>
  </si>
  <si>
    <t>White Maize</t>
  </si>
  <si>
    <t>Marketing
season</t>
  </si>
  <si>
    <t>1954/55</t>
  </si>
  <si>
    <t>1955/56</t>
  </si>
  <si>
    <t>1956/57</t>
  </si>
  <si>
    <t>1957/58</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</si>
  <si>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</si>
  <si>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</si>
  <si>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</si>
  <si>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</si>
  <si>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</si>
  <si>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</si>
  <si>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</si>
  <si>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</si>
  <si>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</si>
  <si>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</si>
  <si>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</si>
  <si>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</si>
  <si>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</si>
  <si>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</si>
  <si>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</si>
  <si>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</si>
  <si>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</si>
  <si>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</si>
  <si>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</si>
  <si>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</si>
  <si>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</si>
  <si>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</si>
  <si>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</si>
  <si>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</si>
  <si>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</si>
  <si>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</si>
  <si>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</si>
  <si>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</si>
  <si>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</si>
  <si>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</si>
  <si>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</si>
  <si>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</si>
  <si>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</si>
  <si>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</si>
  <si>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</si>
  <si>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</si>
  <si>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</si>
  <si>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</si>
  <si>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</si>
  <si>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Severe drought</t>
  </si>
  <si>
    <t>2. Other: Degermed Products, crushed maize</t>
  </si>
  <si>
    <t>Other maize
products
Human
Consump-tion</t>
  </si>
  <si>
    <t>3)</t>
  </si>
  <si>
    <t>4)</t>
  </si>
  <si>
    <t>3. The decline in the quantities of Special Maize Meal, Baker's cones and Mealie flour and the increase in the number of Sifted Maize Meal which is produced in  1970/71 is due to a ban on the manufacture and sale of above three three products during the period October 1970 to April 1971.</t>
  </si>
  <si>
    <t>1. Maize meal: From 1959 - 1960: Included all Maize meal and Maize flour</t>
  </si>
  <si>
    <t>4. Data for Super Maize Meal is only available from 1975/76</t>
  </si>
  <si>
    <t>Internasionale pryse vir mielies stor in duie.</t>
  </si>
  <si>
    <t>Reklame veldtog om witmielieprodukte gebruik te stimuleer.</t>
  </si>
  <si>
    <t>"'n Daling in witmielieverbruik, spesifiek witmieliemeel, is nie net tot nadeel van SA boere nie, maar ook vir die hele landsekonomie"</t>
  </si>
  <si>
    <t>Droogtetoestande</t>
  </si>
  <si>
    <t>Witmielies onvoldoende vir binnelandse verbruik.</t>
  </si>
  <si>
    <t>1 Jul 1986 - 20% geelmielies word by witmielies gemeng</t>
  </si>
  <si>
    <t>193 kt Witmielies word vanaf Zimbawe en 31kt vanaf Bophutatswana af ingevoer om plaaslike voorraad aan te vul.</t>
  </si>
  <si>
    <t>Wit en geelmielies mengverhouding is op 1 Mei 1984 gewysig om 75% geelmielies by witmielies in te meng.</t>
  </si>
  <si>
    <t>Op 1 Jan 1985 is mengregulasies gewysig.  % witmielies van 25% tot 40% verhoog.</t>
  </si>
  <si>
    <t>11 Maart 1985 - verbod op die verkoop van witmielies en witmielieprodukte heeltemal opgehef.</t>
  </si>
  <si>
    <t>Ernstige droogte</t>
  </si>
  <si>
    <t>54,5% minder mielies word gelewer as in 1982/83</t>
  </si>
  <si>
    <t>Grootste invoere nog ooit deur die Republiek gedoen.</t>
  </si>
  <si>
    <t>Plaaslike tekort en onverkrygbaarheid van witmielies oorsee het tot gevolg dat 30% geelmielies by witmielies gemeng is vir menslike verbruik.</t>
  </si>
  <si>
    <t>1 Jul 1983 verbod op die vervaardiging van suiwer witmielieprodukte.</t>
  </si>
  <si>
    <t xml:space="preserve">75kt ingevoer vanaf Bophutatswana en 2 314kt geelmielies vanaf oorsee. </t>
  </si>
  <si>
    <t>1 Mei 1984 inmengverhouding word noodgedwonge verhoog tot 75% geelmielies by alle witmielies vir binnelandseverbruik.</t>
  </si>
  <si>
    <t>Eerste skepe wat 50 000t en groter is word in Durban ontvang om geelmielies af te laai.</t>
  </si>
  <si>
    <t>Skerpverlaging in mielieoes agv ongunstige klimaattoestande.</t>
  </si>
  <si>
    <t>Ekonomiese resessie in groot dele van die wêreld gepaard met rekordoeste het aansienlike daling in pryse van landbouprodukte gebring.</t>
  </si>
  <si>
    <t>Kunsmusruiltransaksie</t>
  </si>
  <si>
    <t>1ste keer dat SA mielies in 'n oorsese land vir kunsmis verruil is.  206kt geelmielies is vir 208kt ureum verruil.  Eerste mielies is in Apr 1982 verskeep.</t>
  </si>
  <si>
    <t>p10  Wysiging op Bemarkingswet</t>
  </si>
  <si>
    <t>'Ton</t>
  </si>
  <si>
    <t>Kleiner oeste en swakker gehalte agv oorvloedige reën en windskade gedurende tweede helfte van groeiseisoen.</t>
  </si>
  <si>
    <t>Kunsmatige droging van mielies word deur Raad toegelaat as aanvaarde en onontbeerlike praktyk. Voorwaardes is gestel om skade te voorkom.</t>
  </si>
  <si>
    <t>Raad skenk R2m aan Dep Landbou vir die skepping van geriewe om Somergraansentrum op Potchefstroom tot doeltreffende navorsingseenheid uit te bou.</t>
  </si>
  <si>
    <t>Ernstige droogtetoestande - baie mielieprodusente kon nie plant nie en baie swak oeste is ingesamel.</t>
  </si>
  <si>
    <t>Aug 1973 is 15% geelmielies van 85% witmielies gemeng vir binnelandse verbruik.</t>
  </si>
  <si>
    <t>Agv swak oes is uitvoer van skeepsvragte mielies vroeg 1973 gestaak.  Beperkings is later op deelvragte geplaas asook uitvoer van mielieprodukte.</t>
  </si>
  <si>
    <t>Nuwe graansilo's vir die opberging van 840 000 ton graan by mielie- en graansorghumagente en meulenaars is opgerig.</t>
  </si>
  <si>
    <t>Agv uitstekende oes hef Raad sy verbod op verkoop van witmielies aan die begin die seisoen op.</t>
  </si>
  <si>
    <t>Wysiging van graderingsregulasies: Vanaf 1 April 1975 wysig woordomskrywings van "wit duikpit', "wit rondepit", "geel duikpit" en "geel rondepit" te vervang met "witmielies" en "geelmielies".</t>
  </si>
  <si>
    <t>Unsifted Maize Meal Yellow</t>
  </si>
  <si>
    <t>n Rekord hoeveelheid van 3,6 mil ton mielies en mielieprodukte is uitgevoer.</t>
  </si>
  <si>
    <t>Nuwe graansilo's vir die opberging van 706 000 ton graan is by mielie- en graansorghumagente en meulenaars opgerig.</t>
  </si>
  <si>
    <t>Nuwe graansilo's vir die opberging van 651 000 ton graan is by mielie- en graansorghumagente en meulenaars opgerig.</t>
  </si>
  <si>
    <t>Totale ruimte vir losmaatopberging by hierdie instansies was op 30 Apr 1972, 4 314 miljoen ton.</t>
  </si>
  <si>
    <t>Gedurende 1971/72 is 'n elektroniese rekenaar vir die Raad se administratiewe werksaamhede in gebruik geneem.</t>
  </si>
  <si>
    <t>Hitte gepaard met droogte het oes ernstig beskadig.</t>
  </si>
  <si>
    <t xml:space="preserve">Swamsiektes en ruspes in sommige gebiede het aansienlike skade aangerig.  </t>
  </si>
  <si>
    <t>Hoofstuk VI, p16 hanteer 'n oorsig gedeelte oor Losmaathantering en opberging van mielies vanaf die 50s.</t>
  </si>
  <si>
    <t>n Laer oes agv droogte en hitte in 'n kritieke stadium I die groeiseisoen.</t>
  </si>
  <si>
    <t>Produsente onder finansiële druk agv twee vorige swak oeste en produksiekoste wat gestyg het.</t>
  </si>
  <si>
    <t>Hoofstuk IX, p24 - Losmaathantering en opberging van mielies</t>
  </si>
  <si>
    <t>Die Raad het op 1 Mei 1971 na die metrieke stelsel oorgeskakel.</t>
  </si>
  <si>
    <t xml:space="preserve">Mielieprodukte kon reeds van 1 Sep 1971 af in metrieke eenhede verpak word ter voorbereiding vir die oorskakelingsdatum  wat vir 1 Okt 1971 bepaal is. </t>
  </si>
  <si>
    <t>Metrieke sak vir die verpakking van mielies sal vanaf 1 Mei 1972  ingebruik geneem word.</t>
  </si>
  <si>
    <t>Administrasie trek op 29 September 1969 in nuwe gebou. (Mielieraad gebou)</t>
  </si>
  <si>
    <t>Ernstige droogte gedurende kritieke tydperk in groeiseisoen.</t>
  </si>
  <si>
    <t>Die mielie- en kafferkoringskema is met ingang 6 Feb 1970 gewysig om die Raad se amptelike naam van "Raad van beheer oor die Mielienywerheid" tot "Mielieraad" verander.</t>
  </si>
  <si>
    <t>Hoofstuk VII p20 - Massahantering van mielies</t>
  </si>
  <si>
    <t>"Die groot  afname in die oes ondanks 'n groter oppervlakte wat beplant is, toon hoe ernstig die oes deur droogte benadeel is.  Daar is beweer dat 1968/69 sie mielie-oes een van die duurste in die geskiedenis is."</t>
  </si>
  <si>
    <t>Bg is agv die rekord oes gedurende 1967/68.  Produsente het dieselfde verwag en op groot skaal mielies aangeplant.  Agv die droogte het die oes sowat slegs 54% van die vorige jaar beloop.</t>
  </si>
  <si>
    <t>Hoofstuk VII p22 - Massahantering van mielies</t>
  </si>
  <si>
    <t>Opknapping van die Eenkanaalstelsel - op 1 Mei 1969 is die eenkanaalstelsel aangepas na 'n stelsel van differensiële pryse.  Dit is agv die klein oes geskuif na 1 Mei 1970.</t>
  </si>
  <si>
    <t>Gunstige klimaattoestande met 'n rekord oes.</t>
  </si>
  <si>
    <t>Rekord oes</t>
  </si>
  <si>
    <t>Durban-graansuier word beskadig deur brand.</t>
  </si>
  <si>
    <t>Uitvoer van mielies en mielie produkte het na dit bykans 2.5 jaar tot stilstand gekom het, weer goed op dreef gekom.</t>
  </si>
  <si>
    <t xml:space="preserve">Raad gee Julie 1967 pamflet uit getitel "Verbeterde Eenkanaalbemarkingskema vir Mielies" waarop kommentare gevra is.  </t>
  </si>
  <si>
    <t>Die nuwe graansuier in Oos-Londen is die grootste kusgraansuier in die suidelike halfrond met opbergingsruimte vir 60 420 ton mielies.  Suier word vir die eerste keer vir die uitvoer van die 1967/68 oes gebruik en is die belangrikste laaipunt waar SA mielies ingeskeep word.</t>
  </si>
  <si>
    <t>Laaste normale reënseisoen.</t>
  </si>
  <si>
    <t>Nieteenstaande droogte het oppervlakte onder mielies op plase vanaf 1963/64 met 15.7% toegeneem.</t>
  </si>
  <si>
    <t>Slegs  mielies en mielieprodukte om tradisionele markte in stand te hou is uitgevoer.  Res is gehou vir binnelandse verbruik.</t>
  </si>
  <si>
    <t>Desember 1964 word afsonderlike fonds die Margeverffeningsfonds gestig waarteen oorskotte of tekorte op mielies wat vir binnelandse verbruik verkoop, verreken word. Naam is  daarna verander in Binnelandse Stabilisasiefonds.  Einde April 1966 is versoek dat die twee fondse saamsmelt.  redes: Binnelandse mark en die uitvoermark is soms baie nou aan mekaar verbonde en verbruikers sowel as die Regering, benewens die produsente ook 'n aansienlike mate tot die opbou van die fonds bygedra het.  Die 2 fondse word einde September 1966 saamgesmelt.</t>
  </si>
  <si>
    <r>
      <rPr>
        <b/>
        <sz val="11"/>
        <color theme="1"/>
        <rFont val="Calibri"/>
        <family val="2"/>
        <scheme val="minor"/>
      </rPr>
      <t>Stabilisasiefonds</t>
    </r>
    <r>
      <rPr>
        <sz val="11"/>
        <color theme="1"/>
        <rFont val="Calibri"/>
        <family val="2"/>
        <scheme val="minor"/>
      </rPr>
      <t xml:space="preserve">  p10 - gestig in 1954 - hoofdoel om dit ter bestryding van verliese op uitvoer aan te wend.</t>
    </r>
  </si>
  <si>
    <t xml:space="preserve">Agv droogte en verhoogde binnelandse verbruik moes sowat 2 mil sakke mielies ingevoer word. </t>
  </si>
  <si>
    <t>n Verbod is geplaas op die vervaardiging en verkoop van suiwer witmielieprodukte en witmielies.</t>
  </si>
  <si>
    <t>Van 29 Nov 1965 kon meulens slegs gemengde en geelmielieprodukte vervaardig en verkoop.</t>
  </si>
  <si>
    <t>Die eerste keer seder 1952/53 wat SA genoodsaak was om mielies in te voer.</t>
  </si>
  <si>
    <t>Rolprent Groen Goud is voltooi. Tema: Omvang van die mieliebedryf, sy belangrikheid in die nasionale ekonomie en die aanwending van die mielie in die vervaardiging van 'n groot verskeidenheid produkte.</t>
  </si>
  <si>
    <t>Keurige Mieliegeregte verkoop 20 000 eksemplare binne eerste jaar.</t>
  </si>
  <si>
    <t>"Byna katastrofiese droogte"</t>
  </si>
  <si>
    <t>Nuwe rekords tov oes, aanplantings, uitvoere en binnelandse verbruik.</t>
  </si>
  <si>
    <t>VSA, Argentinia, SA, Suid Rhodesie, Frankryk, Australie en Kanada gaan ooreenkoms met Britanje aan dat graan wat na die Verenigde Konkryk verskeep nie daar verkoop word teen pryse minder as die neergelegde minimum invoerprys nie.</t>
  </si>
  <si>
    <t>Die stelsel van minimum invoerprys is op 1 Julie 1964 in werking gestel deur die Britse regering.</t>
  </si>
  <si>
    <t>Belangrike wysigings in basiese statistiek tov produksie en verbruik is aangebring.  Tdyperk vanaf 1946/47 is hersien.  Op grond hiervan is aanpassings tov hoeveelhede teruggehou op plase, totale binnelandse verbruik ens gemaak.  Alle syfers is huidig gebaseer op die hersiene reekse en sal dus verskil van syfers wat tov vroeëre seisoene gepubliseer is.</t>
  </si>
  <si>
    <t xml:space="preserve">n Spesiale boukomitee is benoem vir addisionele kantoorruimte. </t>
  </si>
  <si>
    <t xml:space="preserve">                                                                                                                                                                                                                                                                                                                                                                                                                                                                                                                                                                                                                                                                                                                                                                                                                                                                                                                                                                                                </t>
  </si>
  <si>
    <t>Onwettige verkoop van mielies agv  verskil in netto produsenteprys en die Raad se verkoopprys het plaasgevind.  'n Hele aantal mense is  vervolg.  (Word gemeld in vorige seisoene se jaarverslae ook)</t>
  </si>
  <si>
    <t>Voorraad wat aanvraag oorskry het "neerdrukkende" uitwerking gehad op pryse op die uitvoermark.</t>
  </si>
  <si>
    <r>
      <t xml:space="preserve">Sedert 1955/56 word  mielies teen 'n </t>
    </r>
    <r>
      <rPr>
        <b/>
        <sz val="11"/>
        <color theme="1"/>
        <rFont val="Calibri"/>
        <family val="2"/>
        <scheme val="minor"/>
      </rPr>
      <t>verlies uitgevoer</t>
    </r>
    <r>
      <rPr>
        <sz val="11"/>
        <color theme="1"/>
        <rFont val="Calibri"/>
        <family val="2"/>
        <scheme val="minor"/>
      </rPr>
      <t>. Verliese word verreken teen die Mieliestabilisasiefonds.  Die stabilisasiefondsheffing wat van produsente gevorder word, dui aan hoe duur oorproduksie hulle te staan kom en moet as 'n boete of ontmoediging beskou word.  Dit is moontlik dat die heffing die tempo waarteen produksie gestyg het, kon vertraag het, maar, afgehsien hiervan, het dit blykbaar nie produksie ontmoedig nie.</t>
    </r>
  </si>
  <si>
    <t>Vanaf 1 Mei 1959 word meulenaarspryse vasgestel volgens die koste van die produk by die meule.</t>
  </si>
  <si>
    <t>Massa-opberging - Ondersoeke begin plaasvind na bo-grondse massa-opberging in horisontale en vertikale silo opsies.</t>
  </si>
  <si>
    <t>Kooperasies vind dat vertikale silos teen laer kostes opgerig kan word.</t>
  </si>
  <si>
    <t>Gedurende dié jaar is een eenheid van die horisontale tipe met 'n opberginskapisiteit van 220 000 sakke voltooi terwyl 'n begin gemaak is met die oprigting van vertikale silos wat 'n totale opbergins-kapsiteit vir 1.2 miljoen sakke mielies sal hê.    Terselfdertyd het verdere silos met 'n totale kapsiteit van 1 450 000 sakke, die stadium bereik waar 'n aanvang met die oprigting binne die volgend ejaar verwag kan word.</t>
  </si>
  <si>
    <t>Insektebeheer tree meer en meer op die voorgrond toe ernstige klagtes in die verband van oorsese kopers ontvang is waarby aansienlike bedrae in eise vir skadevergoeding betrokke was.</t>
  </si>
  <si>
    <t>Dit word neergelê dat mielies berook moet word voor versending na die kus vir uitvoere.</t>
  </si>
  <si>
    <r>
      <t xml:space="preserve">Graanskure word in </t>
    </r>
    <r>
      <rPr>
        <b/>
        <sz val="11"/>
        <color theme="1"/>
        <rFont val="Calibri"/>
        <family val="2"/>
        <scheme val="minor"/>
      </rPr>
      <t>naturellegebiede</t>
    </r>
    <r>
      <rPr>
        <sz val="11"/>
        <color theme="1"/>
        <rFont val="Calibri"/>
        <family val="2"/>
        <scheme val="minor"/>
      </rPr>
      <t xml:space="preserve"> opgerig gedurende Junie 1957 te Idutywa, Kokstad en Umtata.  Elke skuur kan sowat 45 000 sakke mielies hou.  Die skure word aan die Dept van Naturellesake geskenk terwyl hulle dit weer op tender aan private firmas verhuur.</t>
    </r>
  </si>
  <si>
    <t>Instelling van die Raad opsomming - Bladsye elektronies</t>
  </si>
  <si>
    <t>2016/17</t>
  </si>
  <si>
    <t>2017/18</t>
  </si>
  <si>
    <t>Source: 1949 - 1996 - Maize Board Reports</t>
  </si>
  <si>
    <t>Source: 2016 - to date: SAGIS</t>
  </si>
  <si>
    <t>1997/98 to 2015/16 - No information available</t>
  </si>
  <si>
    <t>(Pounds per kg)</t>
  </si>
  <si>
    <t>Metrieke ton</t>
  </si>
  <si>
    <t>200 pond</t>
  </si>
  <si>
    <t>Maize
Rice, Grits &amp; Samp</t>
  </si>
  <si>
    <t>Ton</t>
  </si>
  <si>
    <t>Total White Maize Products</t>
  </si>
  <si>
    <r>
      <t xml:space="preserve">Maize Meal </t>
    </r>
    <r>
      <rPr>
        <b/>
        <vertAlign val="superscript"/>
        <sz val="11"/>
        <color theme="1"/>
        <rFont val="Arial Narrow"/>
        <family val="2"/>
      </rPr>
      <t>1)</t>
    </r>
  </si>
  <si>
    <t>200 pound bags</t>
  </si>
  <si>
    <t>Total</t>
  </si>
  <si>
    <r>
      <t xml:space="preserve">Maize Meal 
</t>
    </r>
    <r>
      <rPr>
        <b/>
        <sz val="11"/>
        <color rgb="FF0000FF"/>
        <rFont val="Arial Narrow"/>
        <family val="2"/>
      </rPr>
      <t>1)</t>
    </r>
  </si>
  <si>
    <r>
      <rPr>
        <b/>
        <sz val="11"/>
        <color rgb="FF0000FF"/>
        <rFont val="Arial Narrow"/>
        <family val="2"/>
      </rPr>
      <t xml:space="preserve">1. </t>
    </r>
    <r>
      <rPr>
        <sz val="11"/>
        <color theme="1"/>
        <rFont val="Arial Narrow"/>
        <family val="2"/>
      </rPr>
      <t>Maize meal: From 1959 - 1960: Included all Maize meal and Maize flour</t>
    </r>
  </si>
  <si>
    <r>
      <rPr>
        <b/>
        <sz val="11"/>
        <color rgb="FF0000FF"/>
        <rFont val="Arial Narrow"/>
        <family val="2"/>
      </rPr>
      <t>2.</t>
    </r>
    <r>
      <rPr>
        <sz val="11"/>
        <color theme="1"/>
        <rFont val="Arial Narrow"/>
        <family val="2"/>
      </rPr>
      <t xml:space="preserve"> Other: Degermed Products, crushed maize</t>
    </r>
  </si>
  <si>
    <r>
      <rPr>
        <b/>
        <sz val="11"/>
        <color rgb="FF0000FF"/>
        <rFont val="Arial Narrow"/>
        <family val="2"/>
      </rPr>
      <t>3.</t>
    </r>
    <r>
      <rPr>
        <sz val="11"/>
        <color theme="1"/>
        <rFont val="Arial Narrow"/>
        <family val="2"/>
      </rPr>
      <t xml:space="preserve"> The decline in the quantities of Special Maize Meal, Baker's cones and Mealie flour and the increase in the number of Sifted Maize Meal which is produced in  1970/71 is due to a ban on the manufacture and sale of above three three products during the period October 1970 to April 1971.</t>
    </r>
  </si>
  <si>
    <r>
      <rPr>
        <b/>
        <sz val="11"/>
        <color rgb="FF0000FF"/>
        <rFont val="Arial Narrow"/>
        <family val="2"/>
      </rPr>
      <t>4.</t>
    </r>
    <r>
      <rPr>
        <sz val="11"/>
        <color theme="1"/>
        <rFont val="Arial Narrow"/>
        <family val="2"/>
      </rPr>
      <t xml:space="preserve"> Data for Super Maize Meal is only available from 1975/76</t>
    </r>
  </si>
  <si>
    <t>5)</t>
  </si>
  <si>
    <t>2)</t>
  </si>
  <si>
    <t>5. No data published for Maize Chop 1978-1997</t>
  </si>
  <si>
    <r>
      <rPr>
        <b/>
        <sz val="11"/>
        <color rgb="FF0000FF"/>
        <rFont val="Arial Narrow"/>
        <family val="2"/>
      </rPr>
      <t>5.</t>
    </r>
    <r>
      <rPr>
        <sz val="11"/>
        <color theme="1"/>
        <rFont val="Arial Narrow"/>
        <family val="2"/>
      </rPr>
      <t xml:space="preserve"> Not data available on Maize chop between 1978-1997</t>
    </r>
  </si>
  <si>
    <t>Total Yellow Maize Products</t>
  </si>
  <si>
    <t>1977/78  to 2015/16 - No information available on yellow maize products</t>
  </si>
  <si>
    <t>1)</t>
  </si>
  <si>
    <t>Historic White Maize Products
1949/50 - 1996/97</t>
  </si>
  <si>
    <t>Degermed Products</t>
  </si>
  <si>
    <t xml:space="preserve">Total Maize Meal </t>
  </si>
  <si>
    <t>Total
(Maize - 
Rice, Grits &amp; Samp)</t>
  </si>
  <si>
    <t>Historic &amp; Current White Maize Products</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</si>
  <si>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</si>
  <si>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</si>
  <si>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</si>
  <si>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</si>
  <si>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</si>
  <si>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</si>
  <si>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</si>
  <si>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</si>
  <si>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</si>
  <si>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</si>
  <si>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</si>
  <si>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</si>
  <si>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</si>
  <si>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</si>
  <si>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</si>
  <si>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</si>
  <si>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</si>
  <si>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</si>
  <si>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</si>
  <si>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p49 1970</t>
  </si>
  <si>
    <t>p.8 1997</t>
  </si>
  <si>
    <t>1) &amp; 1a)</t>
  </si>
  <si>
    <t>Notes:</t>
  </si>
  <si>
    <t>From 2016/17 reporting on "Other meal &amp; Flour" were replaced with 1a) "Other products intended for Human consumption"</t>
  </si>
  <si>
    <t>Agric. Abstract Diff.</t>
  </si>
  <si>
    <t>Historic &amp; Current Yellow Maize Products</t>
  </si>
  <si>
    <t>Maize Board Reports</t>
  </si>
  <si>
    <t>1949 - 1996:</t>
  </si>
  <si>
    <t>Source:</t>
  </si>
  <si>
    <t>1997 - to date:</t>
  </si>
  <si>
    <t>1961 - 1996 - Maize Board Reports</t>
  </si>
  <si>
    <t>2016 - to date: SAGIS</t>
  </si>
  <si>
    <t>Total Yellow &amp; White Whole Grain
for Human consumption</t>
  </si>
  <si>
    <t>Consumption in the Republic</t>
  </si>
  <si>
    <t>RSA Population</t>
  </si>
  <si>
    <t>Maize Whole Grain</t>
  </si>
  <si>
    <t>per Kg</t>
  </si>
  <si>
    <t>Whole grain: SAGIS</t>
  </si>
  <si>
    <t>Products: SAGIS</t>
  </si>
  <si>
    <t>Total Yellow &amp; White Whole Grain Maize
for Human consumption</t>
  </si>
  <si>
    <t>Total Maize
processed
per capita</t>
  </si>
  <si>
    <t>2018/19 *</t>
  </si>
  <si>
    <t>2018/19 - May '18 - Nov '18 (7 months)</t>
  </si>
  <si>
    <t>Updated:</t>
  </si>
  <si>
    <t>2018/19</t>
  </si>
  <si>
    <t>Total Wheat processed per capita</t>
  </si>
  <si>
    <t>1. Before 1960/61 white and yellow maize were published together</t>
  </si>
  <si>
    <t>"Verslag 1987 p8 
57. Aangesien die totale beskikbare hoeveelheid witmilies na veragting nie voldoende sou wees om in die binnelandse behoefte te voorsien nie, het die Raad op 1 Julie 1986 weer 'n skema ter besparing van witmielies in werking gestel.  Volgens hierdie skema is 20% geelmielies ingemeng by alle witmielies wat deur kommersiële meulenaars verwerk en verkoop is. "</t>
  </si>
  <si>
    <t>2019/20</t>
  </si>
  <si>
    <t>2016-19</t>
  </si>
  <si>
    <t>Droogte</t>
  </si>
  <si>
    <t>Covid-19</t>
  </si>
  <si>
    <t>Baie goeie reënval</t>
  </si>
  <si>
    <t>2020/21</t>
  </si>
  <si>
    <t xml:space="preserve">The only periods in the recent memory that had three successive years of conducive weather conditions and a large crop harvest were in the 2007-08, 2008-09, and 2009-10 production seasons. </t>
  </si>
  <si>
    <t>Wandile Shihlobo - Production years</t>
  </si>
  <si>
    <t>Considering the maize industry, the seasons of 2019-20 and 2020-21 were the first time in history where South Africa’s maize yields have surpassed 15-million tonnes in two successive seasons — 15.3 million tonnes in 2019-20 and 16.2-million tonnes in the 2020-21 season.</t>
  </si>
  <si>
    <t>2007-10</t>
  </si>
  <si>
    <t>2019-21</t>
  </si>
  <si>
    <t>2021/22</t>
  </si>
  <si>
    <r>
      <t xml:space="preserve">Other products intended for Human consumption 
</t>
    </r>
    <r>
      <rPr>
        <b/>
        <sz val="11"/>
        <color rgb="FF0000FF"/>
        <rFont val="Calibri"/>
        <family val="2"/>
      </rPr>
      <t>1a)</t>
    </r>
  </si>
  <si>
    <r>
      <t xml:space="preserve">Total White Maize Products
</t>
    </r>
    <r>
      <rPr>
        <b/>
        <sz val="11"/>
        <color rgb="FF0000FF"/>
        <rFont val="Calibri"/>
        <family val="2"/>
      </rPr>
      <t>2)</t>
    </r>
  </si>
  <si>
    <r>
      <t xml:space="preserve">Total White Maize Products = Maize Rice, Maize Grits, Samp and all above Maize Meal </t>
    </r>
    <r>
      <rPr>
        <b/>
        <sz val="11"/>
        <color rgb="FF0000FF"/>
        <rFont val="Calibri"/>
        <family val="2"/>
      </rPr>
      <t>(Maize Chop is not for human consumption and therefore excluded)</t>
    </r>
  </si>
  <si>
    <r>
      <rPr>
        <b/>
        <i/>
        <sz val="11"/>
        <color theme="1"/>
        <rFont val="Calibri"/>
        <family val="2"/>
      </rPr>
      <t>Total Whole Grain (Human consumption)</t>
    </r>
    <r>
      <rPr>
        <i/>
        <sz val="11"/>
        <color theme="1"/>
        <rFont val="Calibri"/>
        <family val="2"/>
      </rPr>
      <t>: Abstract of Agricultural Statistics</t>
    </r>
  </si>
  <si>
    <t>2016 - to date:</t>
  </si>
  <si>
    <r>
      <t xml:space="preserve">Other maize meal &amp; flour
</t>
    </r>
    <r>
      <rPr>
        <b/>
        <sz val="11"/>
        <color rgb="FF0000FF"/>
        <rFont val="Calibri"/>
        <family val="2"/>
      </rPr>
      <t>1)</t>
    </r>
  </si>
  <si>
    <t>2022/23</t>
  </si>
  <si>
    <t>2023/24</t>
  </si>
  <si>
    <t>2024/25</t>
  </si>
  <si>
    <t>Total less Chop</t>
  </si>
  <si>
    <t>2025/26</t>
  </si>
  <si>
    <t>White &amp; Yellow Maize Chop</t>
  </si>
  <si>
    <t>Total Yellow &amp; White Whole Grain
for Human consumption
- Less Chop</t>
  </si>
  <si>
    <t>Kg/head</t>
  </si>
  <si>
    <t>2026 Abstract</t>
  </si>
  <si>
    <t>2026/27</t>
  </si>
  <si>
    <t>* 2026/27</t>
  </si>
  <si>
    <t>2026/08/25</t>
  </si>
  <si>
    <t>2026/09/08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</si>
</sst>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_ * #,##0.00_ ;_ * \-#,##0.00_ ;_ * &quot;-&quot;??_ ;_ @_ "/>
    <numFmt numFmtId="166" formatCode="###\ ###\ ###\ ##0"/>
  </numFmts>
  <fonts count="49"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b/>
      <sz val="11"/>
      <color theme="1"/>
      <name val="Calibri"/>
      <family val="2"/>
      <scheme val="minor"/>
    </font>
    <font>
      <i/>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Arial Narrow"/>
      <family val="2"/>
    </font>
    <font>
      <sz val="8"/>
      <color theme="1"/>
      <name val="Arial Narrow"/>
      <family val="2"/>
    </font>
    <font>
      <sz val="11"/>
      <color theme="1"/>
      <name val="Arial Narrow"/>
      <family val="2"/>
    </font>
    <font>
      <b/>
      <vertAlign val="superscript"/>
      <sz val="11"/>
      <color theme="1"/>
      <name val="Arial Narrow"/>
      <family val="2"/>
    </font>
    <font>
      <vertAlign val="superscript"/>
      <sz val="11"/>
      <color theme="1"/>
      <name val="Arial Narrow"/>
      <family val="2"/>
    </font>
    <font>
      <sz val="11"/>
      <color rgb="FFFF0000"/>
      <name val="Arial Narrow"/>
      <family val="2"/>
    </font>
    <font>
      <i/>
      <sz val="11"/>
      <color theme="1"/>
      <name val="Arial Narrow"/>
      <family val="2"/>
    </font>
    <font>
      <sz val="11"/>
      <name val="Arial Narrow"/>
      <family val="2"/>
    </font>
    <font>
      <sz val="11"/>
      <color rgb="FF222222"/>
      <name val="Arial Narrow"/>
      <family val="2"/>
    </font>
    <font>
      <b/>
      <sz val="12"/>
      <color theme="1"/>
      <name val="Arial Narrow"/>
      <family val="2"/>
    </font>
    <font>
      <b/>
      <sz val="14"/>
      <color theme="1"/>
      <name val="Arial Narrow"/>
      <family val="2"/>
    </font>
    <font>
      <b/>
      <sz val="11"/>
      <color rgb="FF0000FF"/>
      <name val="Arial Narrow"/>
      <family val="2"/>
    </font>
    <font>
      <sz val="10"/>
      <name val="Arial"/>
      <family val="2"/>
    </font>
    <font>
      <sz val="10"/>
      <name val="Arial Narrow"/>
      <family val="2"/>
    </font>
    <font>
      <sz val="11"/>
      <name val="Calibri"/>
      <family val="2"/>
    </font>
    <font>
      <b/>
      <sz val="18"/>
      <color theme="3"/>
      <name val="Cambria"/>
      <family val="2"/>
      <scheme val="major"/>
    </font>
    <font>
      <b/>
      <sz val="11"/>
      <color rgb="FF0000FF"/>
      <name val="Calibri"/>
      <family val="2"/>
      <scheme val="minor"/>
    </font>
    <font>
      <b/>
      <i/>
      <sz val="11"/>
      <color theme="1"/>
      <name val="Calibri"/>
      <family val="2"/>
      <scheme val="minor"/>
    </font>
    <font>
      <sz val="12"/>
      <color theme="1"/>
      <name val="Arial Narrow"/>
      <family val="2"/>
    </font>
    <font>
      <sz val="10"/>
      <name val="Arial"/>
      <family val="2"/>
    </font>
    <font>
      <sz val="8"/>
      <name val="Calibri"/>
      <family val="2"/>
      <scheme val="minor"/>
    </font>
    <font>
      <sz val="11"/>
      <color theme="1"/>
      <name val="Calibri"/>
      <family val="2"/>
    </font>
    <font>
      <b/>
      <sz val="14"/>
      <color theme="1"/>
      <name val="Calibri"/>
      <family val="2"/>
    </font>
    <font>
      <b/>
      <sz val="11"/>
      <color theme="1"/>
      <name val="Calibri"/>
      <family val="2"/>
    </font>
    <font>
      <b/>
      <sz val="11"/>
      <color rgb="FF0000FF"/>
      <name val="Calibri"/>
      <family val="2"/>
    </font>
    <font>
      <b/>
      <sz val="11"/>
      <name val="Calibri"/>
      <family val="2"/>
    </font>
    <font>
      <b/>
      <sz val="12"/>
      <color theme="1"/>
      <name val="Calibri"/>
      <family val="2"/>
    </font>
    <font>
      <sz val="11"/>
      <color rgb="FFFF0000"/>
      <name val="Calibri"/>
      <family val="2"/>
    </font>
    <font>
      <b/>
      <i/>
      <sz val="11"/>
      <color theme="1"/>
      <name val="Calibri"/>
      <family val="2"/>
    </font>
    <font>
      <i/>
      <sz val="11"/>
      <color theme="1"/>
      <name val="Calibri"/>
      <family val="2"/>
    </font>
    <font>
      <sz val="10"/>
      <name val="Calibri"/>
      <family val="2"/>
    </font>
    <font>
      <b/>
      <sz val="11"/>
      <color rgb="FF9D87B7"/>
      <name val="Calibri"/>
      <family val="2"/>
    </font>
    <font>
      <sz val="10"/>
      <color theme="1"/>
      <name val="Calibri"/>
      <family val="2"/>
    </font>
    <font>
      <b/>
      <sz val="14"/>
      <color theme="1"/>
      <name val="Calibri"/>
      <family val="2"/>
      <scheme val="minor"/>
    </font>
    <font>
      <sz val="11"/>
      <name val="Calibri"/>
      <family val="2"/>
      <scheme val="minor"/>
    </font>
    <font>
      <i/>
      <sz val="11"/>
      <name val="Calibri"/>
      <family val="2"/>
      <scheme val="minor"/>
    </font>
    <font>
      <i/>
      <sz val="11"/>
      <color rgb="FF222222"/>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theme="9" tint="0.399975585192419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4" tint="0.79998168889431442"/>
        <bgColor indexed="64"/>
      </patternFill>
    </fill>
    <fill>
      <patternFill patternType="solid">
        <fgColor theme="9"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ck">
        <color theme="9" tint="-0.24994659260841701"/>
      </bottom>
      <diagonal/>
    </border>
    <border>
      <left style="thin">
        <color indexed="64"/>
      </left>
      <right/>
      <top style="thin">
        <color indexed="64"/>
      </top>
      <bottom style="thick">
        <color theme="9" tint="-0.24994659260841701"/>
      </bottom>
      <diagonal/>
    </border>
    <border>
      <left/>
      <right style="thin">
        <color indexed="64"/>
      </right>
      <top style="thin">
        <color indexed="64"/>
      </top>
      <bottom style="thick">
        <color theme="9"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ck">
        <color theme="9" tint="-0.24994659260841701"/>
      </bottom>
      <diagonal/>
    </border>
    <border>
      <left/>
      <right style="thin">
        <color indexed="64"/>
      </right>
      <top/>
      <bottom style="thick">
        <color theme="9" tint="-0.24994659260841701"/>
      </bottom>
      <diagonal/>
    </border>
    <border>
      <left style="thin">
        <color indexed="64"/>
      </left>
      <right style="thin">
        <color indexed="64"/>
      </right>
      <top/>
      <bottom style="thick">
        <color theme="9" tint="-0.24994659260841701"/>
      </bottom>
      <diagonal/>
    </border>
    <border>
      <left/>
      <right/>
      <top/>
      <bottom style="thick">
        <color theme="9"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ck">
        <color theme="9" tint="-0.24994659260841701"/>
      </bottom>
      <diagonal/>
    </border>
    <border>
      <left style="thin">
        <color indexed="64"/>
      </left>
      <right style="medium">
        <color indexed="64"/>
      </right>
      <top style="thin">
        <color indexed="64"/>
      </top>
      <bottom style="thick">
        <color theme="9" tint="-0.2499465926084170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ck">
        <color theme="9" tint="-0.24994659260841701"/>
      </top>
      <bottom style="thin">
        <color indexed="64"/>
      </bottom>
      <diagonal/>
    </border>
    <border>
      <left style="thin">
        <color indexed="64"/>
      </left>
      <right/>
      <top style="thick">
        <color theme="9" tint="-0.24994659260841701"/>
      </top>
      <bottom style="thin">
        <color indexed="64"/>
      </bottom>
      <diagonal/>
    </border>
    <border>
      <left/>
      <right style="thin">
        <color indexed="64"/>
      </right>
      <top style="thick">
        <color theme="9" tint="-0.24994659260841701"/>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auto="1"/>
      </left>
      <right style="double">
        <color auto="1"/>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double">
        <color auto="1"/>
      </left>
      <right style="double">
        <color auto="1"/>
      </right>
      <top/>
      <bottom style="dotted">
        <color indexed="64"/>
      </bottom>
      <diagonal/>
    </border>
    <border>
      <left/>
      <right style="thin">
        <color indexed="64"/>
      </right>
      <top/>
      <bottom style="dotted">
        <color indexed="64"/>
      </bottom>
      <diagonal/>
    </border>
    <border>
      <left/>
      <right/>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medium">
        <color indexed="64"/>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uble">
        <color auto="1"/>
      </left>
      <right style="double">
        <color auto="1"/>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double">
        <color auto="1"/>
      </left>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top style="dotted">
        <color indexed="64"/>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double">
        <color auto="1"/>
      </left>
      <right style="double">
        <color auto="1"/>
      </right>
      <top style="dotted">
        <color indexed="64"/>
      </top>
      <bottom/>
      <diagonal/>
    </border>
    <border>
      <left style="double">
        <color auto="1"/>
      </left>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style="dotted">
        <color indexed="64"/>
      </top>
      <bottom/>
      <diagonal/>
    </border>
    <border>
      <left style="thin">
        <color indexed="64"/>
      </left>
      <right/>
      <top style="dotted">
        <color indexed="64"/>
      </top>
      <bottom/>
      <diagonal/>
    </border>
    <border>
      <left style="double">
        <color auto="1"/>
      </left>
      <right style="thin">
        <color indexed="64"/>
      </right>
      <top style="dotted">
        <color auto="1"/>
      </top>
      <bottom style="dotted">
        <color auto="1"/>
      </bottom>
      <diagonal/>
    </border>
    <border>
      <left style="double">
        <color auto="1"/>
      </left>
      <right style="thin">
        <color indexed="64"/>
      </right>
      <top style="dotted">
        <color indexed="64"/>
      </top>
      <bottom/>
      <diagonal/>
    </border>
    <border>
      <left style="medium">
        <color auto="1"/>
      </left>
      <right style="medium">
        <color auto="1"/>
      </right>
      <top style="hair">
        <color auto="1"/>
      </top>
      <bottom style="hair">
        <color auto="1"/>
      </bottom>
      <diagonal/>
    </border>
    <border>
      <left style="medium">
        <color auto="1"/>
      </left>
      <right style="medium">
        <color auto="1"/>
      </right>
      <top/>
      <bottom style="hair">
        <color auto="1"/>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double">
        <color auto="1"/>
      </left>
      <right style="double">
        <color auto="1"/>
      </right>
      <top style="dotted">
        <color indexed="64"/>
      </top>
      <bottom style="medium">
        <color indexed="64"/>
      </bottom>
      <diagonal/>
    </border>
    <border>
      <left style="double">
        <color auto="1"/>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medium">
        <color indexed="64"/>
      </left>
      <right style="medium">
        <color indexed="64"/>
      </right>
      <top/>
      <bottom/>
      <diagonal/>
    </border>
  </borders>
  <cellStyleXfs count="39">
    <xf numFmtId="0" fontId="0" fillId="0" borderId="0"/>
    <xf numFmtId="0" fontId="24"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7" fillId="0" borderId="21" applyNumberFormat="0" applyFill="0" applyAlignment="0" applyProtection="0"/>
    <xf numFmtId="0" fontId="8" fillId="0" borderId="22" applyNumberFormat="0" applyFill="0" applyAlignment="0" applyProtection="0"/>
    <xf numFmtId="0" fontId="9" fillId="0" borderId="23" applyNumberFormat="0" applyFill="0" applyAlignment="0" applyProtection="0"/>
    <xf numFmtId="0" fontId="9" fillId="0" borderId="0" applyNumberFormat="0" applyFill="0" applyBorder="0" applyAlignment="0" applyProtection="0"/>
    <xf numFmtId="0" fontId="10" fillId="6" borderId="24" applyNumberFormat="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xf numFmtId="0" fontId="6" fillId="0" borderId="0"/>
    <xf numFmtId="0" fontId="24" fillId="0" borderId="0"/>
    <xf numFmtId="0" fontId="6" fillId="0" borderId="0"/>
    <xf numFmtId="0" fontId="6" fillId="0" borderId="0"/>
    <xf numFmtId="0" fontId="11" fillId="7" borderId="25" applyNumberFormat="0" applyAlignment="0" applyProtection="0"/>
    <xf numFmtId="0" fontId="27" fillId="0" borderId="0" applyNumberFormat="0" applyFill="0" applyBorder="0" applyAlignment="0" applyProtection="0"/>
    <xf numFmtId="0" fontId="4" fillId="0" borderId="26" applyNumberFormat="0" applyFill="0" applyAlignment="0" applyProtection="0"/>
    <xf numFmtId="0" fontId="31" fillId="0" borderId="0"/>
  </cellStyleXfs>
  <cellXfs count="388">
    <xf numFmtId="0" fontId="0" fillId="0" borderId="0" xfId="0"/>
    <xf numFmtId="0" fontId="0" fillId="0" borderId="0" xfId="0" applyAlignment="1">
      <alignment wrapText="1"/>
    </xf>
    <xf numFmtId="0" fontId="0" fillId="0" borderId="0" xfId="0" quotePrefix="1" applyAlignment="1">
      <alignment wrapText="1"/>
    </xf>
    <xf numFmtId="0" fontId="5" fillId="0" borderId="0" xfId="0" applyFont="1" applyAlignment="1">
      <alignment wrapText="1"/>
    </xf>
    <xf numFmtId="0" fontId="4" fillId="0" borderId="0" xfId="0" applyFont="1" applyAlignment="1">
      <alignment wrapText="1"/>
    </xf>
    <xf numFmtId="0" fontId="14" fillId="0" borderId="0" xfId="0" applyFont="1"/>
    <xf numFmtId="3" fontId="14" fillId="0" borderId="2" xfId="0" applyNumberFormat="1" applyFont="1" applyBorder="1" applyAlignment="1">
      <alignment horizontal="center" vertical="center"/>
    </xf>
    <xf numFmtId="3" fontId="14" fillId="3" borderId="1" xfId="0" applyNumberFormat="1" applyFont="1" applyFill="1" applyBorder="1" applyAlignment="1">
      <alignment horizontal="center" vertical="center"/>
    </xf>
    <xf numFmtId="3" fontId="14" fillId="3" borderId="5" xfId="0" applyNumberFormat="1" applyFont="1" applyFill="1" applyBorder="1" applyAlignment="1">
      <alignment horizontal="center" vertical="center"/>
    </xf>
    <xf numFmtId="3" fontId="14" fillId="3" borderId="8" xfId="0" applyNumberFormat="1" applyFont="1" applyFill="1" applyBorder="1" applyAlignment="1">
      <alignment horizontal="center" vertical="center"/>
    </xf>
    <xf numFmtId="3" fontId="14" fillId="3" borderId="2" xfId="0" applyNumberFormat="1" applyFont="1" applyFill="1" applyBorder="1" applyAlignment="1">
      <alignment horizontal="center" vertical="center"/>
    </xf>
    <xf numFmtId="3" fontId="14" fillId="3" borderId="1" xfId="0" applyNumberFormat="1" applyFont="1" applyFill="1" applyBorder="1" applyAlignment="1">
      <alignment horizontal="center"/>
    </xf>
    <xf numFmtId="3" fontId="14" fillId="3" borderId="6" xfId="0" applyNumberFormat="1" applyFont="1" applyFill="1" applyBorder="1" applyAlignment="1">
      <alignment horizontal="center" vertical="center"/>
    </xf>
    <xf numFmtId="3" fontId="14" fillId="3" borderId="9" xfId="0" applyNumberFormat="1" applyFont="1" applyFill="1" applyBorder="1" applyAlignment="1">
      <alignment horizontal="center" vertical="center"/>
    </xf>
    <xf numFmtId="3" fontId="14" fillId="0" borderId="9" xfId="0" applyNumberFormat="1" applyFont="1" applyBorder="1" applyAlignment="1">
      <alignment horizontal="center" vertical="center"/>
    </xf>
    <xf numFmtId="3" fontId="14" fillId="3" borderId="3" xfId="0" applyNumberFormat="1" applyFont="1" applyFill="1" applyBorder="1" applyAlignment="1">
      <alignment horizontal="center" vertical="center"/>
    </xf>
    <xf numFmtId="3" fontId="14" fillId="3" borderId="3" xfId="0" applyNumberFormat="1" applyFont="1" applyFill="1" applyBorder="1" applyAlignment="1">
      <alignment horizontal="center"/>
    </xf>
    <xf numFmtId="3" fontId="14" fillId="3" borderId="12" xfId="0" applyNumberFormat="1" applyFont="1" applyFill="1" applyBorder="1" applyAlignment="1">
      <alignment horizontal="center" vertical="center"/>
    </xf>
    <xf numFmtId="3" fontId="14" fillId="3" borderId="15"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3" fontId="14" fillId="3" borderId="10" xfId="0" applyNumberFormat="1" applyFont="1" applyFill="1" applyBorder="1" applyAlignment="1">
      <alignment horizontal="center"/>
    </xf>
    <xf numFmtId="0" fontId="14" fillId="0" borderId="1" xfId="0" applyFont="1" applyBorder="1"/>
    <xf numFmtId="0" fontId="12" fillId="0" borderId="0" xfId="0" applyFont="1" applyAlignment="1">
      <alignment horizontal="center" vertical="center"/>
    </xf>
    <xf numFmtId="0" fontId="14" fillId="0" borderId="0" xfId="0" applyFont="1" applyAlignment="1">
      <alignment horizontal="center"/>
    </xf>
    <xf numFmtId="0" fontId="12" fillId="0" borderId="0" xfId="0" applyFont="1" applyAlignment="1">
      <alignment horizontal="center" wrapText="1"/>
    </xf>
    <xf numFmtId="3" fontId="14" fillId="0" borderId="1" xfId="0" applyNumberFormat="1" applyFont="1" applyBorder="1"/>
    <xf numFmtId="3" fontId="14" fillId="0" borderId="2" xfId="0" applyNumberFormat="1" applyFont="1" applyBorder="1"/>
    <xf numFmtId="3" fontId="14" fillId="0" borderId="0" xfId="0" applyNumberFormat="1" applyFont="1"/>
    <xf numFmtId="3" fontId="12" fillId="2" borderId="28" xfId="0" applyNumberFormat="1" applyFont="1" applyFill="1" applyBorder="1" applyAlignment="1">
      <alignment horizontal="center" vertical="center" wrapText="1"/>
    </xf>
    <xf numFmtId="0" fontId="12" fillId="0" borderId="19" xfId="0" applyFont="1" applyBorder="1" applyAlignment="1">
      <alignment horizontal="center" wrapText="1"/>
    </xf>
    <xf numFmtId="0" fontId="12" fillId="2" borderId="4"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9" xfId="0" applyFont="1" applyFill="1" applyBorder="1" applyAlignment="1">
      <alignment horizontal="center" vertical="center" wrapText="1"/>
    </xf>
    <xf numFmtId="3" fontId="14" fillId="2" borderId="1" xfId="0" applyNumberFormat="1" applyFont="1" applyFill="1" applyBorder="1"/>
    <xf numFmtId="3" fontId="14" fillId="2" borderId="2" xfId="0" applyNumberFormat="1" applyFont="1" applyFill="1" applyBorder="1" applyAlignment="1">
      <alignment horizontal="center" vertical="center"/>
    </xf>
    <xf numFmtId="3" fontId="14" fillId="2" borderId="1" xfId="0" applyNumberFormat="1" applyFont="1" applyFill="1" applyBorder="1" applyAlignment="1">
      <alignment horizontal="center" vertical="center"/>
    </xf>
    <xf numFmtId="3" fontId="14" fillId="2" borderId="3" xfId="0" applyNumberFormat="1" applyFont="1" applyFill="1" applyBorder="1"/>
    <xf numFmtId="3" fontId="14" fillId="2" borderId="3" xfId="0" applyNumberFormat="1" applyFont="1" applyFill="1" applyBorder="1" applyAlignment="1">
      <alignment horizontal="center" vertical="center"/>
    </xf>
    <xf numFmtId="3" fontId="14" fillId="2" borderId="14" xfId="0" applyNumberFormat="1" applyFont="1" applyFill="1" applyBorder="1" applyAlignment="1">
      <alignment horizontal="center" vertical="center"/>
    </xf>
    <xf numFmtId="3" fontId="14" fillId="2" borderId="9" xfId="0" applyNumberFormat="1" applyFont="1" applyFill="1" applyBorder="1" applyAlignment="1">
      <alignment horizontal="center" vertical="center"/>
    </xf>
    <xf numFmtId="3" fontId="14" fillId="2" borderId="6" xfId="0" applyNumberFormat="1" applyFont="1" applyFill="1" applyBorder="1" applyAlignment="1">
      <alignment horizontal="center" vertical="center"/>
    </xf>
    <xf numFmtId="3" fontId="14" fillId="2" borderId="8" xfId="0" applyNumberFormat="1" applyFont="1" applyFill="1" applyBorder="1" applyAlignment="1">
      <alignment horizontal="center" vertical="center"/>
    </xf>
    <xf numFmtId="3" fontId="14" fillId="2" borderId="5"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3" fontId="18" fillId="2" borderId="8" xfId="0" applyNumberFormat="1" applyFont="1" applyFill="1" applyBorder="1" applyAlignment="1">
      <alignment horizontal="center" vertical="center"/>
    </xf>
    <xf numFmtId="3" fontId="14" fillId="2" borderId="10" xfId="0" applyNumberFormat="1" applyFont="1" applyFill="1" applyBorder="1" applyAlignment="1">
      <alignment horizontal="center" vertical="center"/>
    </xf>
    <xf numFmtId="3" fontId="14" fillId="2" borderId="7" xfId="0" applyNumberFormat="1" applyFont="1" applyFill="1" applyBorder="1" applyAlignment="1">
      <alignment horizontal="center" vertical="center"/>
    </xf>
    <xf numFmtId="3" fontId="14" fillId="2" borderId="15" xfId="0" applyNumberFormat="1" applyFont="1" applyFill="1" applyBorder="1" applyAlignment="1">
      <alignment horizontal="center" vertical="center"/>
    </xf>
    <xf numFmtId="3" fontId="14" fillId="2" borderId="16" xfId="0" applyNumberFormat="1" applyFont="1" applyFill="1" applyBorder="1" applyAlignment="1">
      <alignment horizontal="center" vertical="center"/>
    </xf>
    <xf numFmtId="0" fontId="14" fillId="2" borderId="0" xfId="0" applyFont="1" applyFill="1"/>
    <xf numFmtId="3" fontId="14" fillId="2" borderId="0" xfId="0" applyNumberFormat="1" applyFont="1" applyFill="1"/>
    <xf numFmtId="0" fontId="12" fillId="2" borderId="0" xfId="0" applyFont="1" applyFill="1" applyAlignment="1">
      <alignment horizontal="center" vertical="center"/>
    </xf>
    <xf numFmtId="0" fontId="14" fillId="2" borderId="0" xfId="0" applyFont="1" applyFill="1" applyAlignment="1">
      <alignment horizontal="center"/>
    </xf>
    <xf numFmtId="3" fontId="14" fillId="2" borderId="0" xfId="0" applyNumberFormat="1" applyFont="1" applyFill="1" applyAlignment="1">
      <alignment horizontal="left"/>
    </xf>
    <xf numFmtId="3" fontId="14" fillId="2" borderId="30" xfId="0" applyNumberFormat="1" applyFont="1" applyFill="1" applyBorder="1" applyAlignment="1">
      <alignment horizontal="center" vertical="center"/>
    </xf>
    <xf numFmtId="3" fontId="14" fillId="2" borderId="31" xfId="0" applyNumberFormat="1" applyFont="1" applyFill="1" applyBorder="1" applyAlignment="1">
      <alignment horizontal="center" vertical="center"/>
    </xf>
    <xf numFmtId="3" fontId="14" fillId="2" borderId="32" xfId="0" applyNumberFormat="1" applyFont="1" applyFill="1" applyBorder="1" applyAlignment="1">
      <alignment horizontal="center" vertical="center"/>
    </xf>
    <xf numFmtId="0" fontId="14" fillId="0" borderId="33" xfId="0" applyFont="1" applyBorder="1"/>
    <xf numFmtId="3" fontId="14" fillId="2" borderId="34" xfId="0" applyNumberFormat="1" applyFont="1" applyFill="1" applyBorder="1"/>
    <xf numFmtId="3" fontId="14" fillId="2" borderId="38" xfId="0" applyNumberFormat="1" applyFont="1" applyFill="1" applyBorder="1"/>
    <xf numFmtId="3" fontId="14" fillId="2" borderId="40" xfId="0" applyNumberFormat="1" applyFont="1" applyFill="1" applyBorder="1"/>
    <xf numFmtId="3" fontId="14" fillId="2" borderId="42" xfId="0" applyNumberFormat="1" applyFont="1" applyFill="1" applyBorder="1"/>
    <xf numFmtId="3" fontId="14" fillId="0" borderId="38" xfId="0" applyNumberFormat="1" applyFont="1" applyBorder="1"/>
    <xf numFmtId="3" fontId="19" fillId="0" borderId="38" xfId="0" applyNumberFormat="1" applyFont="1" applyBorder="1"/>
    <xf numFmtId="3" fontId="19" fillId="0" borderId="38" xfId="0" quotePrefix="1" applyNumberFormat="1" applyFont="1" applyBorder="1"/>
    <xf numFmtId="3" fontId="14" fillId="2" borderId="44" xfId="0" applyNumberFormat="1" applyFont="1" applyFill="1" applyBorder="1" applyAlignment="1">
      <alignment horizontal="center" vertical="center"/>
    </xf>
    <xf numFmtId="3" fontId="14" fillId="2" borderId="45" xfId="0" applyNumberFormat="1" applyFont="1" applyFill="1" applyBorder="1" applyAlignment="1">
      <alignment horizontal="center" vertical="center"/>
    </xf>
    <xf numFmtId="3" fontId="14" fillId="2" borderId="46" xfId="0" applyNumberFormat="1" applyFont="1" applyFill="1" applyBorder="1" applyAlignment="1">
      <alignment horizontal="center" vertical="center"/>
    </xf>
    <xf numFmtId="3" fontId="14" fillId="3" borderId="44" xfId="0" applyNumberFormat="1" applyFont="1" applyFill="1" applyBorder="1" applyAlignment="1">
      <alignment horizontal="center"/>
    </xf>
    <xf numFmtId="3" fontId="16" fillId="2" borderId="8" xfId="0" applyNumberFormat="1" applyFont="1" applyFill="1" applyBorder="1" applyAlignment="1">
      <alignment horizontal="center" vertical="center"/>
    </xf>
    <xf numFmtId="3" fontId="17" fillId="2" borderId="5"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xf>
    <xf numFmtId="3" fontId="17" fillId="2" borderId="8" xfId="0" applyNumberFormat="1" applyFont="1" applyFill="1" applyBorder="1" applyAlignment="1">
      <alignment horizontal="center" vertical="center"/>
    </xf>
    <xf numFmtId="3" fontId="19" fillId="2" borderId="5" xfId="0" applyNumberFormat="1" applyFont="1" applyFill="1" applyBorder="1" applyAlignment="1">
      <alignment horizontal="center" vertical="center"/>
    </xf>
    <xf numFmtId="3" fontId="14" fillId="0" borderId="0" xfId="0" quotePrefix="1" applyNumberFormat="1" applyFont="1"/>
    <xf numFmtId="0" fontId="12" fillId="0" borderId="0" xfId="0" applyFont="1" applyAlignment="1">
      <alignment vertical="center"/>
    </xf>
    <xf numFmtId="3" fontId="14" fillId="0" borderId="8" xfId="0" applyNumberFormat="1" applyFont="1" applyBorder="1"/>
    <xf numFmtId="3" fontId="14" fillId="2" borderId="5" xfId="0" applyNumberFormat="1" applyFont="1" applyFill="1" applyBorder="1"/>
    <xf numFmtId="0" fontId="12" fillId="0" borderId="28" xfId="0" applyFont="1" applyBorder="1" applyAlignment="1">
      <alignment horizontal="center" vertical="center" wrapText="1"/>
    </xf>
    <xf numFmtId="3" fontId="12" fillId="0" borderId="4" xfId="0" applyNumberFormat="1" applyFont="1" applyBorder="1" applyAlignment="1">
      <alignment horizontal="center" vertical="center" wrapText="1"/>
    </xf>
    <xf numFmtId="3" fontId="12" fillId="0" borderId="20" xfId="0" applyNumberFormat="1" applyFont="1" applyBorder="1" applyAlignment="1">
      <alignment horizontal="center" vertical="center" wrapText="1"/>
    </xf>
    <xf numFmtId="3" fontId="12" fillId="2" borderId="29" xfId="0" applyNumberFormat="1" applyFont="1" applyFill="1" applyBorder="1" applyAlignment="1">
      <alignment horizontal="center" vertical="center" wrapText="1"/>
    </xf>
    <xf numFmtId="3" fontId="12" fillId="0" borderId="49" xfId="0" applyNumberFormat="1" applyFont="1" applyBorder="1" applyAlignment="1">
      <alignment horizontal="center" vertical="center" wrapText="1"/>
    </xf>
    <xf numFmtId="3" fontId="14" fillId="2" borderId="8" xfId="0" applyNumberFormat="1" applyFont="1" applyFill="1" applyBorder="1"/>
    <xf numFmtId="3" fontId="14" fillId="0" borderId="37" xfId="0" applyNumberFormat="1" applyFont="1" applyBorder="1" applyAlignment="1">
      <alignment horizontal="center" vertical="center"/>
    </xf>
    <xf numFmtId="3" fontId="14" fillId="0" borderId="39" xfId="0" applyNumberFormat="1" applyFont="1" applyBorder="1" applyAlignment="1">
      <alignment horizontal="center" vertical="center"/>
    </xf>
    <xf numFmtId="3" fontId="14" fillId="0" borderId="41"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12" fillId="8" borderId="4" xfId="0" applyFont="1" applyFill="1" applyBorder="1" applyAlignment="1">
      <alignment horizontal="center" vertical="center" wrapText="1"/>
    </xf>
    <xf numFmtId="3" fontId="14" fillId="8" borderId="1" xfId="0" applyNumberFormat="1" applyFont="1" applyFill="1" applyBorder="1" applyAlignment="1">
      <alignment horizontal="center" vertical="center"/>
    </xf>
    <xf numFmtId="3" fontId="14" fillId="8" borderId="14" xfId="0" applyNumberFormat="1" applyFont="1" applyFill="1" applyBorder="1" applyAlignment="1">
      <alignment horizontal="center" vertical="center"/>
    </xf>
    <xf numFmtId="3" fontId="14" fillId="8" borderId="44" xfId="0" applyNumberFormat="1" applyFont="1" applyFill="1" applyBorder="1" applyAlignment="1">
      <alignment horizontal="center" vertical="center"/>
    </xf>
    <xf numFmtId="3" fontId="14" fillId="8" borderId="3" xfId="0" applyNumberFormat="1" applyFont="1" applyFill="1" applyBorder="1" applyAlignment="1">
      <alignment horizontal="center" vertical="center"/>
    </xf>
    <xf numFmtId="3" fontId="14" fillId="8" borderId="8" xfId="0" applyNumberFormat="1" applyFont="1" applyFill="1" applyBorder="1" applyAlignment="1">
      <alignment horizontal="center" vertical="center"/>
    </xf>
    <xf numFmtId="3" fontId="14" fillId="8" borderId="15" xfId="0" applyNumberFormat="1" applyFont="1" applyFill="1" applyBorder="1" applyAlignment="1">
      <alignment horizontal="center" vertical="center"/>
    </xf>
    <xf numFmtId="3" fontId="14" fillId="8" borderId="31" xfId="0" applyNumberFormat="1" applyFont="1" applyFill="1" applyBorder="1" applyAlignment="1">
      <alignment horizontal="center" vertical="center"/>
    </xf>
    <xf numFmtId="3" fontId="17" fillId="8" borderId="1" xfId="0" applyNumberFormat="1" applyFont="1" applyFill="1" applyBorder="1" applyAlignment="1">
      <alignment horizontal="center" vertical="center"/>
    </xf>
    <xf numFmtId="3" fontId="14" fillId="8" borderId="5" xfId="0" applyNumberFormat="1" applyFont="1" applyFill="1" applyBorder="1" applyAlignment="1">
      <alignment horizontal="center" vertical="center"/>
    </xf>
    <xf numFmtId="3" fontId="14" fillId="8" borderId="1" xfId="0" applyNumberFormat="1" applyFont="1" applyFill="1" applyBorder="1" applyAlignment="1">
      <alignment horizontal="center"/>
    </xf>
    <xf numFmtId="3" fontId="14" fillId="8" borderId="14" xfId="0" applyNumberFormat="1" applyFont="1" applyFill="1" applyBorder="1" applyAlignment="1">
      <alignment horizontal="center"/>
    </xf>
    <xf numFmtId="3" fontId="14" fillId="8" borderId="44" xfId="0" applyNumberFormat="1" applyFont="1" applyFill="1" applyBorder="1" applyAlignment="1">
      <alignment horizontal="center"/>
    </xf>
    <xf numFmtId="3" fontId="14" fillId="8" borderId="2" xfId="0" applyNumberFormat="1" applyFont="1" applyFill="1" applyBorder="1" applyAlignment="1">
      <alignment horizontal="center" vertical="center"/>
    </xf>
    <xf numFmtId="3" fontId="14" fillId="8" borderId="6" xfId="0" applyNumberFormat="1" applyFont="1" applyFill="1" applyBorder="1" applyAlignment="1">
      <alignment horizontal="center" vertical="center"/>
    </xf>
    <xf numFmtId="3" fontId="14" fillId="8" borderId="2" xfId="0" applyNumberFormat="1" applyFont="1" applyFill="1" applyBorder="1" applyAlignment="1">
      <alignment horizontal="center"/>
    </xf>
    <xf numFmtId="164" fontId="14" fillId="8" borderId="28" xfId="0" applyNumberFormat="1" applyFont="1" applyFill="1" applyBorder="1" applyAlignment="1">
      <alignment horizontal="left"/>
    </xf>
    <xf numFmtId="164" fontId="14" fillId="8" borderId="4" xfId="0" applyNumberFormat="1" applyFont="1" applyFill="1" applyBorder="1" applyAlignment="1">
      <alignment horizontal="left"/>
    </xf>
    <xf numFmtId="0" fontId="14" fillId="8" borderId="4" xfId="0" applyFont="1" applyFill="1" applyBorder="1" applyAlignment="1">
      <alignment horizontal="left" vertical="center"/>
    </xf>
    <xf numFmtId="0" fontId="14" fillId="8" borderId="4"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9" xfId="0" applyFont="1" applyFill="1" applyBorder="1" applyAlignment="1">
      <alignment horizontal="center" vertical="center"/>
    </xf>
    <xf numFmtId="0" fontId="14" fillId="8" borderId="20" xfId="0" applyFont="1" applyFill="1" applyBorder="1" applyAlignment="1">
      <alignment horizontal="center" vertical="center"/>
    </xf>
    <xf numFmtId="0" fontId="14" fillId="8" borderId="4" xfId="0" applyFont="1" applyFill="1" applyBorder="1" applyAlignment="1">
      <alignment horizontal="center"/>
    </xf>
    <xf numFmtId="0" fontId="14" fillId="8" borderId="49" xfId="0" applyFont="1" applyFill="1" applyBorder="1" applyAlignment="1">
      <alignment horizontal="center"/>
    </xf>
    <xf numFmtId="0" fontId="14" fillId="0" borderId="50" xfId="0" applyFont="1" applyBorder="1"/>
    <xf numFmtId="0" fontId="14" fillId="0" borderId="48" xfId="0" applyFont="1" applyBorder="1"/>
    <xf numFmtId="3" fontId="12" fillId="9" borderId="4" xfId="0" applyNumberFormat="1" applyFont="1" applyFill="1" applyBorder="1" applyAlignment="1">
      <alignment horizontal="center" wrapText="1"/>
    </xf>
    <xf numFmtId="0" fontId="14" fillId="9" borderId="11" xfId="0" applyFont="1" applyFill="1" applyBorder="1"/>
    <xf numFmtId="3" fontId="13" fillId="9" borderId="35" xfId="0" applyNumberFormat="1" applyFont="1" applyFill="1" applyBorder="1"/>
    <xf numFmtId="3" fontId="14" fillId="9" borderId="2" xfId="0" applyNumberFormat="1" applyFont="1" applyFill="1" applyBorder="1"/>
    <xf numFmtId="3" fontId="14" fillId="9" borderId="3" xfId="0" applyNumberFormat="1" applyFont="1" applyFill="1" applyBorder="1"/>
    <xf numFmtId="3" fontId="14" fillId="9" borderId="1" xfId="0" applyNumberFormat="1" applyFont="1" applyFill="1" applyBorder="1"/>
    <xf numFmtId="3" fontId="14" fillId="9" borderId="14" xfId="0" applyNumberFormat="1" applyFont="1" applyFill="1" applyBorder="1"/>
    <xf numFmtId="3" fontId="19" fillId="9" borderId="1" xfId="0" applyNumberFormat="1" applyFont="1" applyFill="1" applyBorder="1"/>
    <xf numFmtId="3" fontId="19" fillId="9" borderId="1" xfId="0" quotePrefix="1" applyNumberFormat="1" applyFont="1" applyFill="1" applyBorder="1"/>
    <xf numFmtId="3" fontId="19" fillId="0" borderId="51" xfId="0" quotePrefix="1" applyNumberFormat="1" applyFont="1" applyBorder="1"/>
    <xf numFmtId="3" fontId="19" fillId="9" borderId="3" xfId="0" quotePrefix="1" applyNumberFormat="1" applyFont="1" applyFill="1" applyBorder="1"/>
    <xf numFmtId="3" fontId="14" fillId="8" borderId="3" xfId="0" applyNumberFormat="1" applyFont="1" applyFill="1" applyBorder="1" applyAlignment="1">
      <alignment horizontal="center"/>
    </xf>
    <xf numFmtId="3" fontId="14" fillId="0" borderId="52" xfId="0" applyNumberFormat="1" applyFont="1" applyBorder="1" applyAlignment="1">
      <alignment horizontal="center" vertical="center"/>
    </xf>
    <xf numFmtId="3" fontId="19" fillId="2" borderId="42" xfId="0" quotePrefix="1" applyNumberFormat="1" applyFont="1" applyFill="1" applyBorder="1"/>
    <xf numFmtId="0" fontId="12" fillId="8" borderId="2" xfId="0" applyFont="1" applyFill="1" applyBorder="1" applyAlignment="1">
      <alignment horizontal="center" vertical="center"/>
    </xf>
    <xf numFmtId="0" fontId="14" fillId="2" borderId="2" xfId="0" applyFont="1" applyFill="1" applyBorder="1" applyAlignment="1">
      <alignment horizontal="center"/>
    </xf>
    <xf numFmtId="0" fontId="14" fillId="8" borderId="2" xfId="0" applyFont="1" applyFill="1" applyBorder="1" applyAlignment="1">
      <alignment horizontal="center"/>
    </xf>
    <xf numFmtId="0" fontId="12" fillId="8" borderId="3"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3" xfId="0" applyFont="1" applyFill="1" applyBorder="1" applyAlignment="1">
      <alignment horizontal="center"/>
    </xf>
    <xf numFmtId="0" fontId="14" fillId="8" borderId="3" xfId="0" applyFont="1" applyFill="1" applyBorder="1" applyAlignment="1">
      <alignment horizontal="center"/>
    </xf>
    <xf numFmtId="0" fontId="14" fillId="2" borderId="3" xfId="0" applyFont="1" applyFill="1" applyBorder="1"/>
    <xf numFmtId="3" fontId="12" fillId="2" borderId="28" xfId="0" applyNumberFormat="1" applyFont="1" applyFill="1" applyBorder="1"/>
    <xf numFmtId="3" fontId="14" fillId="0" borderId="4" xfId="0" applyNumberFormat="1" applyFont="1" applyBorder="1"/>
    <xf numFmtId="3" fontId="12" fillId="2" borderId="4" xfId="0" applyNumberFormat="1" applyFont="1" applyFill="1" applyBorder="1" applyAlignment="1">
      <alignment horizontal="center" vertical="center"/>
    </xf>
    <xf numFmtId="3" fontId="12" fillId="0" borderId="4" xfId="0" applyNumberFormat="1" applyFont="1" applyBorder="1" applyAlignment="1">
      <alignment horizontal="center" vertical="center"/>
    </xf>
    <xf numFmtId="3" fontId="12" fillId="0" borderId="49" xfId="0" applyNumberFormat="1" applyFont="1" applyBorder="1" applyAlignment="1">
      <alignment horizontal="center" vertical="center"/>
    </xf>
    <xf numFmtId="0" fontId="20" fillId="2" borderId="0" xfId="0" applyFont="1" applyFill="1" applyAlignment="1">
      <alignment horizontal="left"/>
    </xf>
    <xf numFmtId="0" fontId="20" fillId="2" borderId="0" xfId="0" applyFont="1" applyFill="1"/>
    <xf numFmtId="0" fontId="14" fillId="0" borderId="3" xfId="0" applyFont="1" applyBorder="1"/>
    <xf numFmtId="3" fontId="14" fillId="0" borderId="3" xfId="0" applyNumberFormat="1" applyFont="1" applyBorder="1"/>
    <xf numFmtId="3" fontId="14" fillId="0" borderId="10" xfId="0" applyNumberFormat="1" applyFont="1" applyBorder="1"/>
    <xf numFmtId="3" fontId="14" fillId="2" borderId="7" xfId="0" applyNumberFormat="1" applyFont="1" applyFill="1" applyBorder="1"/>
    <xf numFmtId="3" fontId="12" fillId="5" borderId="1" xfId="0" applyNumberFormat="1" applyFont="1" applyFill="1" applyBorder="1"/>
    <xf numFmtId="3" fontId="12" fillId="5" borderId="3" xfId="0" applyNumberFormat="1" applyFont="1" applyFill="1" applyBorder="1"/>
    <xf numFmtId="3" fontId="23" fillId="0" borderId="8" xfId="0" applyNumberFormat="1" applyFont="1" applyBorder="1"/>
    <xf numFmtId="0" fontId="18" fillId="2" borderId="0" xfId="0" applyFont="1" applyFill="1"/>
    <xf numFmtId="3" fontId="18" fillId="2" borderId="0" xfId="0" applyNumberFormat="1" applyFont="1" applyFill="1"/>
    <xf numFmtId="3" fontId="14" fillId="2" borderId="5" xfId="0" applyNumberFormat="1" applyFont="1" applyFill="1" applyBorder="1" applyAlignment="1">
      <alignment vertical="center"/>
    </xf>
    <xf numFmtId="3" fontId="14" fillId="2" borderId="1" xfId="0" applyNumberFormat="1" applyFont="1" applyFill="1" applyBorder="1" applyAlignment="1">
      <alignment vertical="center"/>
    </xf>
    <xf numFmtId="3" fontId="14" fillId="2" borderId="8" xfId="0" applyNumberFormat="1" applyFont="1" applyFill="1" applyBorder="1" applyAlignment="1">
      <alignment vertical="center"/>
    </xf>
    <xf numFmtId="3" fontId="23" fillId="2" borderId="1" xfId="0" applyNumberFormat="1" applyFont="1" applyFill="1" applyBorder="1"/>
    <xf numFmtId="3" fontId="14" fillId="2" borderId="2" xfId="0" quotePrefix="1" applyNumberFormat="1" applyFont="1" applyFill="1" applyBorder="1" applyAlignment="1">
      <alignment horizontal="center" vertical="center"/>
    </xf>
    <xf numFmtId="3" fontId="14" fillId="2" borderId="6" xfId="0" applyNumberFormat="1" applyFont="1" applyFill="1" applyBorder="1" applyAlignment="1">
      <alignment vertical="center"/>
    </xf>
    <xf numFmtId="3" fontId="14" fillId="2" borderId="2" xfId="0" applyNumberFormat="1" applyFont="1" applyFill="1" applyBorder="1" applyAlignment="1">
      <alignment vertical="center"/>
    </xf>
    <xf numFmtId="0" fontId="14" fillId="0" borderId="2" xfId="0" applyFont="1" applyBorder="1"/>
    <xf numFmtId="3" fontId="14" fillId="2" borderId="9" xfId="0" applyNumberFormat="1" applyFont="1" applyFill="1" applyBorder="1" applyAlignment="1">
      <alignment vertical="center" wrapText="1"/>
    </xf>
    <xf numFmtId="3" fontId="14" fillId="2" borderId="9" xfId="0" applyNumberFormat="1" applyFont="1" applyFill="1" applyBorder="1" applyAlignment="1">
      <alignment vertical="center"/>
    </xf>
    <xf numFmtId="3" fontId="12" fillId="5" borderId="2" xfId="0" applyNumberFormat="1" applyFont="1" applyFill="1" applyBorder="1"/>
    <xf numFmtId="3" fontId="12" fillId="2" borderId="20" xfId="0" applyNumberFormat="1" applyFont="1" applyFill="1" applyBorder="1" applyAlignment="1">
      <alignment horizontal="center" vertical="center"/>
    </xf>
    <xf numFmtId="3" fontId="12" fillId="2" borderId="29" xfId="0" applyNumberFormat="1" applyFont="1" applyFill="1" applyBorder="1" applyAlignment="1">
      <alignment horizontal="center" vertical="center"/>
    </xf>
    <xf numFmtId="3" fontId="3" fillId="2" borderId="51" xfId="0" quotePrefix="1" applyNumberFormat="1" applyFont="1" applyFill="1" applyBorder="1"/>
    <xf numFmtId="3" fontId="12" fillId="0" borderId="20" xfId="0" applyNumberFormat="1" applyFont="1" applyBorder="1" applyAlignment="1">
      <alignment horizontal="center" vertical="center"/>
    </xf>
    <xf numFmtId="3" fontId="12" fillId="0" borderId="29" xfId="0" applyNumberFormat="1" applyFont="1" applyBorder="1" applyAlignment="1">
      <alignment horizontal="center" vertical="center"/>
    </xf>
    <xf numFmtId="3" fontId="12" fillId="2" borderId="17" xfId="0" applyNumberFormat="1" applyFont="1" applyFill="1" applyBorder="1" applyAlignment="1">
      <alignment horizontal="center" vertical="center"/>
    </xf>
    <xf numFmtId="3" fontId="12" fillId="2" borderId="19" xfId="0" applyNumberFormat="1" applyFont="1" applyFill="1" applyBorder="1" applyAlignment="1">
      <alignment horizontal="center" vertical="center"/>
    </xf>
    <xf numFmtId="0" fontId="0" fillId="0" borderId="0" xfId="0" quotePrefix="1"/>
    <xf numFmtId="0" fontId="30" fillId="0" borderId="0" xfId="0" applyFont="1" applyAlignment="1">
      <alignment wrapText="1"/>
    </xf>
    <xf numFmtId="17" fontId="0" fillId="0" borderId="0" xfId="0" quotePrefix="1" applyNumberFormat="1"/>
    <xf numFmtId="0" fontId="33" fillId="0" borderId="0" xfId="0" applyFont="1"/>
    <xf numFmtId="0" fontId="34" fillId="2" borderId="47" xfId="0" applyFont="1" applyFill="1" applyBorder="1" applyAlignment="1">
      <alignment vertical="center" wrapText="1"/>
    </xf>
    <xf numFmtId="0" fontId="34" fillId="2" borderId="47" xfId="0" applyFont="1" applyFill="1" applyBorder="1" applyAlignment="1">
      <alignment vertical="center"/>
    </xf>
    <xf numFmtId="3" fontId="33" fillId="0" borderId="0" xfId="0" applyNumberFormat="1" applyFont="1"/>
    <xf numFmtId="0" fontId="33" fillId="0" borderId="0" xfId="0" applyFont="1" applyAlignment="1">
      <alignment horizontal="center"/>
    </xf>
    <xf numFmtId="4" fontId="33" fillId="0" borderId="0" xfId="0" applyNumberFormat="1" applyFont="1"/>
    <xf numFmtId="0" fontId="34" fillId="0" borderId="0" xfId="0" applyFont="1" applyAlignment="1">
      <alignment horizontal="center" vertical="center"/>
    </xf>
    <xf numFmtId="0" fontId="35" fillId="0" borderId="54" xfId="0" applyFont="1" applyBorder="1" applyAlignment="1">
      <alignment horizontal="center" vertical="center" wrapText="1"/>
    </xf>
    <xf numFmtId="3" fontId="35" fillId="0" borderId="55" xfId="0" applyNumberFormat="1" applyFont="1" applyBorder="1" applyAlignment="1">
      <alignment horizontal="center" vertical="center" wrapText="1"/>
    </xf>
    <xf numFmtId="3" fontId="35" fillId="0" borderId="56" xfId="0" applyNumberFormat="1" applyFont="1" applyBorder="1" applyAlignment="1">
      <alignment horizontal="center" vertical="center" wrapText="1"/>
    </xf>
    <xf numFmtId="3" fontId="35" fillId="10" borderId="53" xfId="0" applyNumberFormat="1" applyFont="1" applyFill="1" applyBorder="1" applyAlignment="1">
      <alignment horizontal="center" vertical="center" wrapText="1"/>
    </xf>
    <xf numFmtId="3" fontId="35" fillId="2" borderId="57" xfId="0" applyNumberFormat="1" applyFont="1" applyFill="1" applyBorder="1" applyAlignment="1">
      <alignment horizontal="center" vertical="center" wrapText="1"/>
    </xf>
    <xf numFmtId="0" fontId="37" fillId="0" borderId="53" xfId="1" applyFont="1" applyBorder="1" applyAlignment="1">
      <alignment horizontal="center" vertical="center" wrapText="1"/>
    </xf>
    <xf numFmtId="3" fontId="35" fillId="10" borderId="36" xfId="0" applyNumberFormat="1" applyFont="1" applyFill="1" applyBorder="1" applyAlignment="1">
      <alignment horizontal="center" vertical="center" wrapText="1"/>
    </xf>
    <xf numFmtId="3" fontId="35" fillId="0" borderId="58" xfId="0" applyNumberFormat="1" applyFont="1" applyBorder="1" applyAlignment="1">
      <alignment horizontal="center" vertical="center" wrapText="1"/>
    </xf>
    <xf numFmtId="3" fontId="35" fillId="0" borderId="0" xfId="0" applyNumberFormat="1" applyFont="1" applyAlignment="1">
      <alignment horizontal="center" vertical="center" wrapText="1"/>
    </xf>
    <xf numFmtId="0" fontId="35" fillId="0" borderId="27" xfId="0" applyFont="1" applyBorder="1" applyAlignment="1">
      <alignment horizontal="center" vertical="center" wrapText="1"/>
    </xf>
    <xf numFmtId="0" fontId="35" fillId="0" borderId="0" xfId="0" applyFont="1" applyAlignment="1">
      <alignment vertical="center"/>
    </xf>
    <xf numFmtId="0" fontId="35" fillId="2" borderId="20" xfId="0" applyFont="1" applyFill="1" applyBorder="1" applyAlignment="1">
      <alignment horizontal="center" vertical="center" wrapText="1"/>
    </xf>
    <xf numFmtId="0" fontId="35" fillId="0" borderId="28" xfId="0" applyFont="1" applyBorder="1" applyAlignment="1">
      <alignment horizontal="center" vertical="center" wrapText="1"/>
    </xf>
    <xf numFmtId="3" fontId="35" fillId="0" borderId="4" xfId="0" applyNumberFormat="1" applyFont="1" applyBorder="1" applyAlignment="1">
      <alignment horizontal="center" vertical="center" wrapText="1"/>
    </xf>
    <xf numFmtId="0" fontId="35" fillId="0" borderId="20" xfId="0" applyFont="1" applyBorder="1" applyAlignment="1">
      <alignment horizontal="center" vertical="center" wrapText="1"/>
    </xf>
    <xf numFmtId="0" fontId="35" fillId="0" borderId="61" xfId="0" applyFont="1" applyBorder="1" applyAlignment="1">
      <alignment horizontal="center" vertical="center" wrapText="1"/>
    </xf>
    <xf numFmtId="3" fontId="35" fillId="12" borderId="37" xfId="0" applyNumberFormat="1" applyFont="1" applyFill="1" applyBorder="1" applyAlignment="1">
      <alignment horizontal="center" vertical="center" wrapText="1"/>
    </xf>
    <xf numFmtId="0" fontId="35" fillId="0" borderId="0" xfId="0" applyFont="1" applyAlignment="1">
      <alignment horizontal="center"/>
    </xf>
    <xf numFmtId="0" fontId="35" fillId="5" borderId="27" xfId="0" applyFont="1" applyFill="1" applyBorder="1" applyAlignment="1">
      <alignment horizontal="center"/>
    </xf>
    <xf numFmtId="0" fontId="35" fillId="5" borderId="50" xfId="0" applyFont="1" applyFill="1" applyBorder="1" applyAlignment="1">
      <alignment horizontal="center" vertical="center"/>
    </xf>
    <xf numFmtId="0" fontId="35" fillId="5" borderId="60" xfId="0" applyFont="1" applyFill="1" applyBorder="1" applyAlignment="1">
      <alignment horizontal="center" vertical="center"/>
    </xf>
    <xf numFmtId="0" fontId="35" fillId="5" borderId="11" xfId="0" applyFont="1" applyFill="1" applyBorder="1" applyAlignment="1">
      <alignment horizontal="center" vertical="center"/>
    </xf>
    <xf numFmtId="0" fontId="35" fillId="5" borderId="4" xfId="0" applyFont="1" applyFill="1" applyBorder="1" applyAlignment="1">
      <alignment horizontal="center" vertical="center"/>
    </xf>
    <xf numFmtId="0" fontId="35" fillId="5" borderId="49" xfId="0" applyFont="1" applyFill="1" applyBorder="1" applyAlignment="1">
      <alignment horizontal="center"/>
    </xf>
    <xf numFmtId="0" fontId="33" fillId="0" borderId="64" xfId="0" applyFont="1" applyBorder="1"/>
    <xf numFmtId="3" fontId="33" fillId="0" borderId="65" xfId="0" applyNumberFormat="1" applyFont="1" applyBorder="1"/>
    <xf numFmtId="3" fontId="33" fillId="0" borderId="66" xfId="0" applyNumberFormat="1" applyFont="1" applyBorder="1"/>
    <xf numFmtId="3" fontId="33" fillId="10" borderId="67" xfId="0" applyNumberFormat="1" applyFont="1" applyFill="1" applyBorder="1"/>
    <xf numFmtId="3" fontId="33" fillId="2" borderId="68" xfId="0" applyNumberFormat="1" applyFont="1" applyFill="1" applyBorder="1" applyAlignment="1">
      <alignment vertical="center"/>
    </xf>
    <xf numFmtId="3" fontId="33" fillId="2" borderId="65" xfId="0" applyNumberFormat="1" applyFont="1" applyFill="1" applyBorder="1" applyAlignment="1">
      <alignment vertical="center"/>
    </xf>
    <xf numFmtId="0" fontId="33" fillId="0" borderId="69" xfId="0" applyFont="1" applyBorder="1"/>
    <xf numFmtId="3" fontId="35" fillId="10" borderId="66" xfId="0" applyNumberFormat="1" applyFont="1" applyFill="1" applyBorder="1"/>
    <xf numFmtId="3" fontId="33" fillId="0" borderId="70" xfId="0" applyNumberFormat="1" applyFont="1" applyBorder="1"/>
    <xf numFmtId="3" fontId="33" fillId="0" borderId="71" xfId="0" applyNumberFormat="1" applyFont="1" applyBorder="1"/>
    <xf numFmtId="3" fontId="33" fillId="0" borderId="69" xfId="0" applyNumberFormat="1" applyFont="1" applyBorder="1"/>
    <xf numFmtId="3" fontId="33" fillId="2" borderId="64" xfId="0" applyNumberFormat="1" applyFont="1" applyFill="1" applyBorder="1"/>
    <xf numFmtId="1" fontId="33" fillId="0" borderId="66" xfId="0" applyNumberFormat="1" applyFont="1" applyBorder="1" applyAlignment="1">
      <alignment horizontal="center"/>
    </xf>
    <xf numFmtId="1" fontId="33" fillId="0" borderId="72" xfId="0" applyNumberFormat="1" applyFont="1" applyBorder="1"/>
    <xf numFmtId="3" fontId="33" fillId="12" borderId="72" xfId="0" applyNumberFormat="1" applyFont="1" applyFill="1" applyBorder="1" applyAlignment="1">
      <alignment horizontal="center"/>
    </xf>
    <xf numFmtId="0" fontId="33" fillId="0" borderId="73" xfId="0" applyFont="1" applyBorder="1"/>
    <xf numFmtId="3" fontId="33" fillId="0" borderId="74" xfId="0" applyNumberFormat="1" applyFont="1" applyBorder="1"/>
    <xf numFmtId="3" fontId="33" fillId="0" borderId="75" xfId="0" applyNumberFormat="1" applyFont="1" applyBorder="1"/>
    <xf numFmtId="3" fontId="33" fillId="10" borderId="76" xfId="0" applyNumberFormat="1" applyFont="1" applyFill="1" applyBorder="1"/>
    <xf numFmtId="3" fontId="33" fillId="2" borderId="77" xfId="0" applyNumberFormat="1" applyFont="1" applyFill="1" applyBorder="1" applyAlignment="1">
      <alignment vertical="center"/>
    </xf>
    <xf numFmtId="3" fontId="33" fillId="2" borderId="74" xfId="0" applyNumberFormat="1" applyFont="1" applyFill="1" applyBorder="1" applyAlignment="1">
      <alignment vertical="center"/>
    </xf>
    <xf numFmtId="0" fontId="33" fillId="0" borderId="78" xfId="0" applyFont="1" applyBorder="1"/>
    <xf numFmtId="3" fontId="35" fillId="10" borderId="75" xfId="0" applyNumberFormat="1" applyFont="1" applyFill="1" applyBorder="1"/>
    <xf numFmtId="3" fontId="33" fillId="0" borderId="79" xfId="0" applyNumberFormat="1" applyFont="1" applyBorder="1"/>
    <xf numFmtId="3" fontId="33" fillId="0" borderId="78" xfId="0" applyNumberFormat="1" applyFont="1" applyBorder="1"/>
    <xf numFmtId="3" fontId="33" fillId="2" borderId="73" xfId="0" applyNumberFormat="1" applyFont="1" applyFill="1" applyBorder="1"/>
    <xf numFmtId="1" fontId="33" fillId="0" borderId="75" xfId="0" applyNumberFormat="1" applyFont="1" applyBorder="1" applyAlignment="1">
      <alignment horizontal="center"/>
    </xf>
    <xf numFmtId="1" fontId="33" fillId="0" borderId="80" xfId="0" applyNumberFormat="1" applyFont="1" applyBorder="1"/>
    <xf numFmtId="3" fontId="33" fillId="12" borderId="80" xfId="0" applyNumberFormat="1" applyFont="1" applyFill="1" applyBorder="1" applyAlignment="1">
      <alignment horizontal="center"/>
    </xf>
    <xf numFmtId="3" fontId="33" fillId="2" borderId="77" xfId="0" applyNumberFormat="1" applyFont="1" applyFill="1" applyBorder="1"/>
    <xf numFmtId="3" fontId="33" fillId="0" borderId="77" xfId="0" applyNumberFormat="1" applyFont="1" applyBorder="1"/>
    <xf numFmtId="3" fontId="33" fillId="0" borderId="73" xfId="0" applyNumberFormat="1" applyFont="1" applyBorder="1"/>
    <xf numFmtId="0" fontId="33" fillId="0" borderId="79" xfId="0" applyFont="1" applyBorder="1"/>
    <xf numFmtId="17" fontId="33" fillId="0" borderId="73" xfId="0" quotePrefix="1" applyNumberFormat="1" applyFont="1" applyBorder="1"/>
    <xf numFmtId="0" fontId="33" fillId="0" borderId="73" xfId="0" quotePrefix="1" applyFont="1" applyBorder="1"/>
    <xf numFmtId="3" fontId="33" fillId="11" borderId="74" xfId="0" applyNumberFormat="1" applyFont="1" applyFill="1" applyBorder="1"/>
    <xf numFmtId="3" fontId="33" fillId="0" borderId="81" xfId="0" applyNumberFormat="1" applyFont="1" applyBorder="1"/>
    <xf numFmtId="3" fontId="35" fillId="10" borderId="80" xfId="0" applyNumberFormat="1" applyFont="1" applyFill="1" applyBorder="1"/>
    <xf numFmtId="1" fontId="33" fillId="0" borderId="74" xfId="0" applyNumberFormat="1" applyFont="1" applyBorder="1" applyAlignment="1">
      <alignment horizontal="center"/>
    </xf>
    <xf numFmtId="3" fontId="26" fillId="0" borderId="79" xfId="0" applyNumberFormat="1" applyFont="1" applyBorder="1"/>
    <xf numFmtId="3" fontId="39" fillId="0" borderId="0" xfId="0" applyNumberFormat="1" applyFont="1"/>
    <xf numFmtId="0" fontId="39" fillId="0" borderId="79" xfId="0" applyFont="1" applyBorder="1"/>
    <xf numFmtId="0" fontId="39" fillId="0" borderId="78" xfId="0" applyFont="1" applyBorder="1"/>
    <xf numFmtId="3" fontId="39" fillId="0" borderId="78" xfId="0" applyNumberFormat="1" applyFont="1" applyBorder="1"/>
    <xf numFmtId="3" fontId="26" fillId="2" borderId="79" xfId="0" applyNumberFormat="1" applyFont="1" applyFill="1" applyBorder="1"/>
    <xf numFmtId="3" fontId="33" fillId="2" borderId="74" xfId="0" applyNumberFormat="1" applyFont="1" applyFill="1" applyBorder="1"/>
    <xf numFmtId="0" fontId="39" fillId="0" borderId="82" xfId="0" applyFont="1" applyBorder="1"/>
    <xf numFmtId="0" fontId="39" fillId="0" borderId="83" xfId="0" applyFont="1" applyBorder="1"/>
    <xf numFmtId="3" fontId="39" fillId="0" borderId="83" xfId="0" applyNumberFormat="1" applyFont="1" applyBorder="1"/>
    <xf numFmtId="0" fontId="40" fillId="0" borderId="0" xfId="0" applyFont="1"/>
    <xf numFmtId="14" fontId="33" fillId="5" borderId="0" xfId="0" quotePrefix="1" applyNumberFormat="1" applyFont="1" applyFill="1" applyAlignment="1">
      <alignment horizontal="center"/>
    </xf>
    <xf numFmtId="3" fontId="33" fillId="0" borderId="0" xfId="0" applyNumberFormat="1" applyFont="1" applyAlignment="1">
      <alignment horizontal="center"/>
    </xf>
    <xf numFmtId="0" fontId="36" fillId="0" borderId="0" xfId="0" applyFont="1"/>
    <xf numFmtId="3" fontId="33" fillId="0" borderId="0" xfId="0" quotePrefix="1" applyNumberFormat="1" applyFont="1"/>
    <xf numFmtId="0" fontId="41" fillId="0" borderId="0" xfId="0" applyFont="1"/>
    <xf numFmtId="3" fontId="41" fillId="0" borderId="0" xfId="0" applyNumberFormat="1" applyFont="1"/>
    <xf numFmtId="0" fontId="33" fillId="0" borderId="0" xfId="0" applyFont="1" applyAlignment="1">
      <alignment horizontal="left" wrapText="1"/>
    </xf>
    <xf numFmtId="3" fontId="42" fillId="2" borderId="0" xfId="38" applyNumberFormat="1" applyFont="1" applyFill="1" applyAlignment="1">
      <alignment vertical="center"/>
    </xf>
    <xf numFmtId="3" fontId="43" fillId="0" borderId="0" xfId="0" applyNumberFormat="1" applyFont="1"/>
    <xf numFmtId="14" fontId="44" fillId="0" borderId="0" xfId="0" quotePrefix="1" applyNumberFormat="1" applyFont="1" applyAlignment="1">
      <alignment horizontal="left"/>
    </xf>
    <xf numFmtId="3" fontId="44" fillId="0" borderId="0" xfId="0" applyNumberFormat="1" applyFont="1"/>
    <xf numFmtId="0" fontId="45" fillId="2" borderId="47" xfId="0" applyFont="1" applyFill="1" applyBorder="1" applyAlignment="1">
      <alignment vertical="center"/>
    </xf>
    <xf numFmtId="1" fontId="0" fillId="0" borderId="0" xfId="0" applyNumberFormat="1"/>
    <xf numFmtId="3" fontId="0" fillId="0" borderId="59" xfId="0" applyNumberFormat="1" applyBorder="1"/>
    <xf numFmtId="3" fontId="47" fillId="0" borderId="0" xfId="0" applyNumberFormat="1" applyFont="1"/>
    <xf numFmtId="3" fontId="5" fillId="0" borderId="0" xfId="0" applyNumberFormat="1" applyFont="1"/>
    <xf numFmtId="3" fontId="29" fillId="0" borderId="0" xfId="0" applyNumberFormat="1" applyFont="1"/>
    <xf numFmtId="0" fontId="48" fillId="0" borderId="0" xfId="0" applyFont="1"/>
    <xf numFmtId="3" fontId="0" fillId="0" borderId="0" xfId="0" applyNumberFormat="1"/>
    <xf numFmtId="14" fontId="0" fillId="0" borderId="0" xfId="0" quotePrefix="1" applyNumberFormat="1" applyAlignment="1">
      <alignment horizontal="left"/>
    </xf>
    <xf numFmtId="0" fontId="4" fillId="2" borderId="47" xfId="0" applyFont="1" applyFill="1" applyBorder="1" applyAlignment="1">
      <alignment vertical="center" wrapText="1"/>
    </xf>
    <xf numFmtId="0" fontId="4" fillId="2" borderId="47" xfId="0" applyFont="1" applyFill="1" applyBorder="1" applyAlignment="1">
      <alignment vertical="center"/>
    </xf>
    <xf numFmtId="0" fontId="4" fillId="2" borderId="47" xfId="0" applyFont="1" applyFill="1" applyBorder="1" applyAlignment="1">
      <alignment horizontal="left" vertical="center"/>
    </xf>
    <xf numFmtId="0" fontId="4" fillId="0" borderId="0" xfId="0" applyFont="1" applyAlignment="1">
      <alignment vertical="center" wrapText="1"/>
    </xf>
    <xf numFmtId="3" fontId="33" fillId="13" borderId="0" xfId="0" quotePrefix="1" applyNumberFormat="1" applyFont="1" applyFill="1" applyAlignment="1">
      <alignment horizontal="right"/>
    </xf>
    <xf numFmtId="14" fontId="33" fillId="0" borderId="0" xfId="0" quotePrefix="1" applyNumberFormat="1" applyFont="1" applyAlignment="1">
      <alignment horizontal="right"/>
    </xf>
    <xf numFmtId="0" fontId="33" fillId="0" borderId="84" xfId="0" applyFont="1" applyBorder="1"/>
    <xf numFmtId="3" fontId="33" fillId="0" borderId="85" xfId="0" applyNumberFormat="1" applyFont="1" applyBorder="1"/>
    <xf numFmtId="3" fontId="33" fillId="10" borderId="86" xfId="0" applyNumberFormat="1" applyFont="1" applyFill="1" applyBorder="1"/>
    <xf numFmtId="3" fontId="33" fillId="11" borderId="85" xfId="0" applyNumberFormat="1" applyFont="1" applyFill="1" applyBorder="1"/>
    <xf numFmtId="3" fontId="33" fillId="0" borderId="87" xfId="0" applyNumberFormat="1" applyFont="1" applyBorder="1"/>
    <xf numFmtId="3" fontId="35" fillId="10" borderId="88" xfId="0" applyNumberFormat="1" applyFont="1" applyFill="1" applyBorder="1"/>
    <xf numFmtId="3" fontId="33" fillId="0" borderId="84" xfId="0" applyNumberFormat="1" applyFont="1" applyBorder="1"/>
    <xf numFmtId="1" fontId="33" fillId="0" borderId="90" xfId="0" applyNumberFormat="1" applyFont="1" applyBorder="1" applyAlignment="1">
      <alignment horizontal="center"/>
    </xf>
    <xf numFmtId="1" fontId="33" fillId="0" borderId="88" xfId="0" applyNumberFormat="1" applyFont="1" applyBorder="1"/>
    <xf numFmtId="3" fontId="33" fillId="12" borderId="88" xfId="0" applyNumberFormat="1" applyFont="1" applyFill="1" applyBorder="1" applyAlignment="1">
      <alignment horizontal="center"/>
    </xf>
    <xf numFmtId="3" fontId="26" fillId="0" borderId="89" xfId="0" applyNumberFormat="1" applyFont="1" applyBorder="1"/>
    <xf numFmtId="166" fontId="26" fillId="0" borderId="0" xfId="0" applyNumberFormat="1" applyFont="1"/>
    <xf numFmtId="3" fontId="26" fillId="13" borderId="89" xfId="0" applyNumberFormat="1" applyFont="1" applyFill="1" applyBorder="1"/>
    <xf numFmtId="166" fontId="26" fillId="0" borderId="91" xfId="0" applyNumberFormat="1" applyFont="1" applyBorder="1"/>
    <xf numFmtId="0" fontId="0" fillId="0" borderId="79" xfId="0" applyBorder="1"/>
    <xf numFmtId="3" fontId="0" fillId="0" borderId="79" xfId="0" applyNumberFormat="1" applyBorder="1"/>
    <xf numFmtId="3" fontId="0" fillId="0" borderId="73" xfId="0" applyNumberFormat="1" applyBorder="1"/>
    <xf numFmtId="3" fontId="0" fillId="0" borderId="74" xfId="0" applyNumberFormat="1" applyBorder="1"/>
    <xf numFmtId="3" fontId="0" fillId="0" borderId="80" xfId="0" applyNumberFormat="1" applyBorder="1"/>
    <xf numFmtId="3" fontId="0" fillId="0" borderId="74" xfId="0" applyNumberFormat="1" applyBorder="1" applyAlignment="1">
      <alignment horizontal="right"/>
    </xf>
    <xf numFmtId="3" fontId="0" fillId="0" borderId="80" xfId="0" applyNumberFormat="1" applyBorder="1" applyAlignment="1">
      <alignment horizontal="right"/>
    </xf>
    <xf numFmtId="3" fontId="0" fillId="0" borderId="73" xfId="0" quotePrefix="1" applyNumberFormat="1" applyBorder="1"/>
    <xf numFmtId="166" fontId="46" fillId="0" borderId="74" xfId="0" applyNumberFormat="1" applyFont="1" applyBorder="1"/>
    <xf numFmtId="3" fontId="0" fillId="0" borderId="84" xfId="0" quotePrefix="1" applyNumberFormat="1" applyBorder="1"/>
    <xf numFmtId="3" fontId="0" fillId="0" borderId="85" xfId="0" applyNumberFormat="1" applyBorder="1"/>
    <xf numFmtId="3" fontId="0" fillId="0" borderId="85" xfId="0" applyNumberFormat="1" applyBorder="1" applyAlignment="1">
      <alignment horizontal="right"/>
    </xf>
    <xf numFmtId="3" fontId="0" fillId="0" borderId="88" xfId="0" applyNumberFormat="1" applyBorder="1" applyAlignment="1">
      <alignment horizontal="right"/>
    </xf>
    <xf numFmtId="0" fontId="0" fillId="0" borderId="89" xfId="0" applyBorder="1"/>
    <xf numFmtId="3" fontId="46" fillId="0" borderId="64" xfId="0" quotePrefix="1" applyNumberFormat="1" applyFont="1" applyBorder="1"/>
    <xf numFmtId="3" fontId="0" fillId="0" borderId="65" xfId="0" applyNumberFormat="1" applyBorder="1"/>
    <xf numFmtId="3" fontId="0" fillId="0" borderId="72" xfId="0" applyNumberFormat="1" applyBorder="1"/>
    <xf numFmtId="3" fontId="0" fillId="0" borderId="70" xfId="0" applyNumberFormat="1" applyBorder="1"/>
    <xf numFmtId="3" fontId="4" fillId="2" borderId="54" xfId="0" applyNumberFormat="1" applyFont="1" applyFill="1" applyBorder="1" applyAlignment="1">
      <alignment horizontal="center" vertical="center" wrapText="1"/>
    </xf>
    <xf numFmtId="0" fontId="4" fillId="0" borderId="55" xfId="0" applyFont="1" applyBorder="1" applyAlignment="1">
      <alignment horizontal="center" vertical="center" wrapText="1"/>
    </xf>
    <xf numFmtId="3" fontId="4" fillId="0" borderId="61" xfId="0" applyNumberFormat="1" applyFont="1" applyBorder="1" applyAlignment="1">
      <alignment horizontal="center" vertical="center" wrapText="1"/>
    </xf>
    <xf numFmtId="0" fontId="4" fillId="0" borderId="58" xfId="0" applyFont="1" applyBorder="1" applyAlignment="1">
      <alignment horizontal="center" vertical="center" wrapText="1"/>
    </xf>
    <xf numFmtId="3" fontId="0" fillId="0" borderId="64" xfId="0" applyNumberFormat="1" applyBorder="1"/>
    <xf numFmtId="3" fontId="0" fillId="0" borderId="66" xfId="0" applyNumberFormat="1" applyBorder="1"/>
    <xf numFmtId="3" fontId="28" fillId="0" borderId="65" xfId="0" applyNumberFormat="1" applyFont="1" applyBorder="1" applyAlignment="1">
      <alignment horizontal="right"/>
    </xf>
    <xf numFmtId="0" fontId="0" fillId="0" borderId="70" xfId="0" applyBorder="1"/>
    <xf numFmtId="0" fontId="33" fillId="0" borderId="84" xfId="0" quotePrefix="1" applyFont="1" applyBorder="1"/>
    <xf numFmtId="166" fontId="26" fillId="0" borderId="92" xfId="0" applyNumberFormat="1" applyFont="1" applyBorder="1"/>
    <xf numFmtId="3" fontId="33" fillId="0" borderId="93" xfId="0" applyNumberFormat="1" applyFont="1" applyBorder="1"/>
    <xf numFmtId="0" fontId="33" fillId="0" borderId="93" xfId="0" applyFont="1" applyBorder="1"/>
    <xf numFmtId="3" fontId="33" fillId="0" borderId="94" xfId="0" applyNumberFormat="1" applyFont="1" applyBorder="1"/>
    <xf numFmtId="0" fontId="33" fillId="0" borderId="94" xfId="0" applyFont="1" applyBorder="1"/>
    <xf numFmtId="3" fontId="35" fillId="4" borderId="27" xfId="0" applyNumberFormat="1" applyFont="1" applyFill="1" applyBorder="1" applyAlignment="1">
      <alignment horizontal="center"/>
    </xf>
    <xf numFmtId="0" fontId="35" fillId="4" borderId="27" xfId="0" applyFont="1" applyFill="1" applyBorder="1" applyAlignment="1">
      <alignment horizontal="center"/>
    </xf>
    <xf numFmtId="3" fontId="0" fillId="0" borderId="88" xfId="0" applyNumberFormat="1" applyBorder="1"/>
    <xf numFmtId="3" fontId="0" fillId="0" borderId="89" xfId="0" applyNumberFormat="1" applyBorder="1"/>
    <xf numFmtId="166" fontId="26" fillId="0" borderId="85" xfId="0" applyNumberFormat="1" applyFont="1" applyBorder="1"/>
    <xf numFmtId="3" fontId="0" fillId="0" borderId="95" xfId="0" quotePrefix="1" applyNumberFormat="1" applyBorder="1"/>
    <xf numFmtId="166" fontId="26" fillId="0" borderId="96" xfId="0" applyNumberFormat="1" applyFont="1" applyBorder="1"/>
    <xf numFmtId="3" fontId="0" fillId="0" borderId="96" xfId="0" applyNumberFormat="1" applyBorder="1"/>
    <xf numFmtId="3" fontId="0" fillId="0" borderId="97" xfId="0" applyNumberFormat="1" applyBorder="1"/>
    <xf numFmtId="3" fontId="0" fillId="0" borderId="93" xfId="0" applyNumberFormat="1" applyBorder="1"/>
    <xf numFmtId="3" fontId="0" fillId="0" borderId="42" xfId="0" quotePrefix="1" applyNumberFormat="1" applyBorder="1"/>
    <xf numFmtId="166" fontId="26" fillId="0" borderId="2" xfId="0" applyNumberFormat="1" applyFont="1" applyBorder="1"/>
    <xf numFmtId="3" fontId="0" fillId="0" borderId="2" xfId="0" applyNumberFormat="1" applyBorder="1"/>
    <xf numFmtId="3" fontId="0" fillId="0" borderId="43" xfId="0" applyNumberFormat="1" applyBorder="1"/>
    <xf numFmtId="3" fontId="0" fillId="0" borderId="98" xfId="0" applyNumberFormat="1" applyBorder="1"/>
    <xf numFmtId="0" fontId="39" fillId="0" borderId="89" xfId="0" applyFont="1" applyBorder="1"/>
    <xf numFmtId="0" fontId="39" fillId="0" borderId="99" xfId="0" applyFont="1" applyBorder="1"/>
    <xf numFmtId="0" fontId="39" fillId="0" borderId="0" xfId="0" applyFont="1"/>
    <xf numFmtId="0" fontId="33" fillId="0" borderId="100" xfId="0" applyFont="1" applyBorder="1"/>
    <xf numFmtId="3" fontId="33" fillId="0" borderId="101" xfId="0" applyNumberFormat="1" applyFont="1" applyBorder="1"/>
    <xf numFmtId="3" fontId="33" fillId="10" borderId="102" xfId="0" applyNumberFormat="1" applyFont="1" applyFill="1" applyBorder="1"/>
    <xf numFmtId="3" fontId="33" fillId="11" borderId="101" xfId="0" applyNumberFormat="1" applyFont="1" applyFill="1" applyBorder="1"/>
    <xf numFmtId="166" fontId="26" fillId="0" borderId="103" xfId="0" applyNumberFormat="1" applyFont="1" applyBorder="1"/>
    <xf numFmtId="3" fontId="35" fillId="10" borderId="104" xfId="0" applyNumberFormat="1" applyFont="1" applyFill="1" applyBorder="1"/>
    <xf numFmtId="3" fontId="33" fillId="0" borderId="100" xfId="0" applyNumberFormat="1" applyFont="1" applyBorder="1"/>
    <xf numFmtId="1" fontId="33" fillId="0" borderId="105" xfId="0" applyNumberFormat="1" applyFont="1" applyBorder="1" applyAlignment="1">
      <alignment horizontal="center"/>
    </xf>
    <xf numFmtId="1" fontId="33" fillId="0" borderId="104" xfId="0" applyNumberFormat="1" applyFont="1" applyBorder="1"/>
    <xf numFmtId="3" fontId="33" fillId="12" borderId="104" xfId="0" applyNumberFormat="1" applyFont="1" applyFill="1" applyBorder="1" applyAlignment="1">
      <alignment horizontal="center"/>
    </xf>
    <xf numFmtId="3" fontId="33" fillId="0" borderId="82" xfId="0" applyNumberFormat="1" applyFont="1" applyBorder="1"/>
    <xf numFmtId="0" fontId="33" fillId="0" borderId="82" xfId="0" applyFont="1" applyBorder="1"/>
    <xf numFmtId="0" fontId="39" fillId="0" borderId="106" xfId="0" applyFont="1" applyBorder="1"/>
    <xf numFmtId="3" fontId="33" fillId="0" borderId="106" xfId="0" applyNumberFormat="1" applyFont="1" applyBorder="1"/>
    <xf numFmtId="3" fontId="26" fillId="0" borderId="82" xfId="0" applyNumberFormat="1" applyFont="1" applyBorder="1"/>
    <xf numFmtId="0" fontId="38" fillId="5" borderId="17" xfId="0" applyFont="1" applyFill="1" applyBorder="1" applyAlignment="1">
      <alignment horizontal="center"/>
    </xf>
    <xf numFmtId="0" fontId="38" fillId="5" borderId="18" xfId="0" applyFont="1" applyFill="1" applyBorder="1" applyAlignment="1">
      <alignment horizontal="center"/>
    </xf>
    <xf numFmtId="0" fontId="38" fillId="5" borderId="19" xfId="0" applyFont="1" applyFill="1" applyBorder="1" applyAlignment="1">
      <alignment horizontal="center"/>
    </xf>
    <xf numFmtId="3" fontId="35" fillId="0" borderId="63" xfId="0" applyNumberFormat="1" applyFont="1" applyBorder="1" applyAlignment="1">
      <alignment horizontal="center" vertical="center" wrapText="1"/>
    </xf>
    <xf numFmtId="3" fontId="35" fillId="0" borderId="62" xfId="0" applyNumberFormat="1" applyFont="1" applyBorder="1" applyAlignment="1">
      <alignment horizontal="center" vertical="center" wrapText="1"/>
    </xf>
    <xf numFmtId="3" fontId="4" fillId="4" borderId="8" xfId="0" applyNumberFormat="1" applyFont="1" applyFill="1" applyBorder="1" applyAlignment="1">
      <alignment horizontal="center"/>
    </xf>
    <xf numFmtId="3" fontId="4" fillId="4" borderId="13" xfId="0" applyNumberFormat="1" applyFont="1" applyFill="1" applyBorder="1" applyAlignment="1">
      <alignment horizontal="center"/>
    </xf>
    <xf numFmtId="3" fontId="4" fillId="4" borderId="5" xfId="0" applyNumberFormat="1" applyFont="1" applyFill="1" applyBorder="1" applyAlignment="1">
      <alignment horizontal="center"/>
    </xf>
    <xf numFmtId="3" fontId="4" fillId="5" borderId="8" xfId="0" applyNumberFormat="1" applyFont="1" applyFill="1" applyBorder="1" applyAlignment="1">
      <alignment horizontal="center" vertical="center" wrapText="1"/>
    </xf>
    <xf numFmtId="3" fontId="4" fillId="5" borderId="13" xfId="0" applyNumberFormat="1" applyFont="1" applyFill="1" applyBorder="1" applyAlignment="1">
      <alignment horizontal="center" vertical="center" wrapText="1"/>
    </xf>
    <xf numFmtId="3" fontId="4" fillId="5" borderId="5" xfId="0" applyNumberFormat="1" applyFont="1" applyFill="1" applyBorder="1" applyAlignment="1">
      <alignment horizontal="center" vertical="center" wrapText="1"/>
    </xf>
    <xf numFmtId="0" fontId="22" fillId="2" borderId="47" xfId="0" applyFont="1" applyFill="1" applyBorder="1" applyAlignment="1">
      <alignment horizontal="center" vertical="center" wrapText="1"/>
    </xf>
    <xf numFmtId="0" fontId="22" fillId="5" borderId="17" xfId="0" applyFont="1" applyFill="1" applyBorder="1" applyAlignment="1">
      <alignment horizontal="center"/>
    </xf>
    <xf numFmtId="0" fontId="22" fillId="5" borderId="18" xfId="0" applyFont="1" applyFill="1" applyBorder="1" applyAlignment="1">
      <alignment horizontal="center"/>
    </xf>
    <xf numFmtId="0" fontId="22" fillId="5" borderId="19" xfId="0" applyFont="1" applyFill="1" applyBorder="1" applyAlignment="1">
      <alignment horizontal="center"/>
    </xf>
    <xf numFmtId="0" fontId="14" fillId="2" borderId="0" xfId="0" applyFont="1" applyFill="1" applyAlignment="1">
      <alignment horizontal="left" wrapText="1"/>
    </xf>
    <xf numFmtId="0" fontId="21" fillId="5" borderId="63" xfId="0" applyFont="1" applyFill="1" applyBorder="1" applyAlignment="1">
      <alignment horizontal="center"/>
    </xf>
    <xf numFmtId="0" fontId="21" fillId="5" borderId="36" xfId="0" applyFont="1" applyFill="1" applyBorder="1" applyAlignment="1">
      <alignment horizontal="center"/>
    </xf>
    <xf numFmtId="0" fontId="21" fillId="5" borderId="62" xfId="0" applyFont="1" applyFill="1" applyBorder="1" applyAlignment="1">
      <alignment horizontal="center"/>
    </xf>
    <xf numFmtId="3" fontId="14" fillId="2" borderId="0" xfId="0" applyNumberFormat="1" applyFont="1" applyFill="1" applyAlignment="1">
      <alignment horizontal="left" wrapText="1"/>
    </xf>
    <xf numFmtId="3" fontId="2" fillId="2" borderId="0" xfId="0" applyNumberFormat="1" applyFont="1" applyFill="1" applyAlignment="1">
      <alignment horizontal="left" wrapText="1"/>
    </xf>
    <xf numFmtId="0" fontId="12" fillId="2" borderId="0" xfId="0" applyFont="1" applyFill="1" applyAlignment="1">
      <alignment horizontal="center" vertical="center"/>
    </xf>
    <xf numFmtId="0" fontId="22" fillId="2" borderId="17" xfId="0" quotePrefix="1" applyFont="1" applyFill="1" applyBorder="1" applyAlignment="1">
      <alignment horizontal="center" vertical="center" wrapText="1"/>
    </xf>
    <xf numFmtId="0" fontId="22" fillId="2" borderId="18" xfId="0" quotePrefix="1" applyFont="1" applyFill="1" applyBorder="1" applyAlignment="1">
      <alignment horizontal="center" vertical="center" wrapText="1"/>
    </xf>
    <xf numFmtId="0" fontId="22" fillId="2" borderId="19" xfId="0" quotePrefix="1" applyFont="1" applyFill="1" applyBorder="1" applyAlignment="1">
      <alignment horizontal="center" vertical="center" wrapText="1"/>
    </xf>
    <xf numFmtId="3" fontId="22" fillId="3" borderId="17" xfId="0" applyNumberFormat="1" applyFont="1" applyFill="1" applyBorder="1" applyAlignment="1">
      <alignment horizontal="center"/>
    </xf>
    <xf numFmtId="3" fontId="22" fillId="3" borderId="18" xfId="0" applyNumberFormat="1" applyFont="1" applyFill="1" applyBorder="1" applyAlignment="1">
      <alignment horizontal="center"/>
    </xf>
    <xf numFmtId="3" fontId="22" fillId="3" borderId="19" xfId="0" applyNumberFormat="1" applyFont="1" applyFill="1" applyBorder="1" applyAlignment="1">
      <alignment horizontal="center"/>
    </xf>
  </cellXfs>
  <cellStyles count="39">
    <cellStyle name="Comma 2" xfId="2" xr:uid="{00000000-0005-0000-0000-000000000000}"/>
    <cellStyle name="Comma 2 2" xfId="3" xr:uid="{00000000-0005-0000-0000-000001000000}"/>
    <cellStyle name="Comma 3" xfId="4" xr:uid="{00000000-0005-0000-0000-000002000000}"/>
    <cellStyle name="Comma 3 2" xfId="5" xr:uid="{00000000-0005-0000-0000-000003000000}"/>
    <cellStyle name="Comma 4" xfId="6" xr:uid="{00000000-0005-0000-0000-000004000000}"/>
    <cellStyle name="Comma 4 2" xfId="7" xr:uid="{00000000-0005-0000-0000-000005000000}"/>
    <cellStyle name="Comma 5" xfId="8" xr:uid="{00000000-0005-0000-0000-000006000000}"/>
    <cellStyle name="Comma 5 2" xfId="9" xr:uid="{00000000-0005-0000-0000-000007000000}"/>
    <cellStyle name="Comma 6 2" xfId="10" xr:uid="{00000000-0005-0000-0000-000008000000}"/>
    <cellStyle name="Comma 7" xfId="11" xr:uid="{00000000-0005-0000-0000-000009000000}"/>
    <cellStyle name="Comma 7 2" xfId="12" xr:uid="{00000000-0005-0000-0000-00000A000000}"/>
    <cellStyle name="Heading 1 2" xfId="13" xr:uid="{00000000-0005-0000-0000-00000B000000}"/>
    <cellStyle name="Heading 2 2" xfId="14" xr:uid="{00000000-0005-0000-0000-00000C000000}"/>
    <cellStyle name="Heading 3 2" xfId="15" xr:uid="{00000000-0005-0000-0000-00000D000000}"/>
    <cellStyle name="Heading 4 2" xfId="16" xr:uid="{00000000-0005-0000-0000-00000E000000}"/>
    <cellStyle name="Input 2" xfId="17" xr:uid="{00000000-0005-0000-0000-00000F000000}"/>
    <cellStyle name="Normal" xfId="0" builtinId="0"/>
    <cellStyle name="Normal 10" xfId="18" xr:uid="{00000000-0005-0000-0000-000011000000}"/>
    <cellStyle name="Normal 11" xfId="19" xr:uid="{00000000-0005-0000-0000-000012000000}"/>
    <cellStyle name="Normal 12" xfId="20" xr:uid="{00000000-0005-0000-0000-000013000000}"/>
    <cellStyle name="Normal 13" xfId="21" xr:uid="{00000000-0005-0000-0000-000014000000}"/>
    <cellStyle name="Normal 14" xfId="22" xr:uid="{00000000-0005-0000-0000-000015000000}"/>
    <cellStyle name="Normal 15" xfId="23" xr:uid="{00000000-0005-0000-0000-000016000000}"/>
    <cellStyle name="Normal 16" xfId="1" xr:uid="{00000000-0005-0000-0000-000017000000}"/>
    <cellStyle name="Normal 17" xfId="38" xr:uid="{00000000-0005-0000-0000-000018000000}"/>
    <cellStyle name="Normal 2" xfId="24" xr:uid="{00000000-0005-0000-0000-000019000000}"/>
    <cellStyle name="Normal 2 2" xfId="25" xr:uid="{00000000-0005-0000-0000-00001A000000}"/>
    <cellStyle name="Normal 3" xfId="26" xr:uid="{00000000-0005-0000-0000-00001B000000}"/>
    <cellStyle name="Normal 4" xfId="27" xr:uid="{00000000-0005-0000-0000-00001C000000}"/>
    <cellStyle name="Normal 5" xfId="28" xr:uid="{00000000-0005-0000-0000-00001D000000}"/>
    <cellStyle name="Normal 5 2" xfId="29" xr:uid="{00000000-0005-0000-0000-00001E000000}"/>
    <cellStyle name="Normal 6" xfId="30" xr:uid="{00000000-0005-0000-0000-00001F000000}"/>
    <cellStyle name="Normal 7" xfId="31" xr:uid="{00000000-0005-0000-0000-000020000000}"/>
    <cellStyle name="Normal 7 2" xfId="32" xr:uid="{00000000-0005-0000-0000-000021000000}"/>
    <cellStyle name="Normal 8" xfId="33" xr:uid="{00000000-0005-0000-0000-000022000000}"/>
    <cellStyle name="Normal 9" xfId="34" xr:uid="{00000000-0005-0000-0000-000023000000}"/>
    <cellStyle name="Output 2" xfId="35" xr:uid="{00000000-0005-0000-0000-000024000000}"/>
    <cellStyle name="Title 2" xfId="36" xr:uid="{00000000-0005-0000-0000-000025000000}"/>
    <cellStyle name="Total 2" xfId="37" xr:uid="{00000000-0005-0000-0000-000026000000}"/>
  </cellStyles>
  <dxfs count="0"/>
  <tableStyles count="0" defaultTableStyle="TableStyleMedium2" defaultPivotStyle="PivotStyleLight16"/>
  <colors>
    <mruColors>
      <color rgb="FF0000FF"/>
      <color rgb="FFD96709"/>
      <color rgb="FF9D87B7"/>
      <color rgb="FFFFFFEF"/>
      <color rgb="FFFF00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styles" Target="styles.xml"/><Relationship Id="rId5" Type="http://schemas.openxmlformats.org/officeDocument/2006/relationships/chartsheet" Target="chartsheets/sheet3.xml"/><Relationship Id="rId10" Type="http://schemas.openxmlformats.org/officeDocument/2006/relationships/theme" Target="theme/theme1.xml"/><Relationship Id="rId4" Type="http://schemas.openxmlformats.org/officeDocument/2006/relationships/chartsheet" Target="chartsheets/sheet2.xml"/><Relationship Id="rId9" Type="http://schemas.openxmlformats.org/officeDocument/2006/relationships/worksheet" Target="worksheets/sheet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atin typeface="Arial Narrow" panose="020B0606020202030204" pitchFamily="34" charset="0"/>
              </a:defRPr>
            </a:pPr>
            <a:r>
              <a:rPr lang="en-US">
                <a:latin typeface="Arial Narrow" panose="020B0606020202030204" pitchFamily="34" charset="0"/>
              </a:rPr>
              <a:t>Maize products Historic Information</a:t>
            </a:r>
          </a:p>
        </c:rich>
      </c:tx>
      <c:layout>
        <c:manualLayout>
          <c:xMode val="edge"/>
          <c:yMode val="edge"/>
          <c:x val="0.32367349919287475"/>
          <c:y val="6.2500000000000003E-3"/>
        </c:manualLayout>
      </c:layout>
      <c:overlay val="0"/>
    </c:title>
    <c:autoTitleDeleted val="0"/>
    <c:plotArea>
      <c:layout>
        <c:manualLayout>
          <c:layoutTarget val="inner"/>
          <c:xMode val="edge"/>
          <c:yMode val="edge"/>
          <c:x val="8.8037184199041787E-2"/>
          <c:y val="0.12606774934383203"/>
          <c:w val="0.89020446742871462"/>
          <c:h val="0.77088648293963258"/>
        </c:manualLayout>
      </c:layout>
      <c:lineChart>
        <c:grouping val="standard"/>
        <c:varyColors val="0"/>
        <c:ser>
          <c:idx val="0"/>
          <c:order val="0"/>
          <c:tx>
            <c:v>Sifted WM Meal</c:v>
          </c:tx>
          <c:spPr>
            <a:ln>
              <a:solidFill>
                <a:srgbClr val="9D87B7"/>
              </a:solidFill>
            </a:ln>
          </c:spPr>
          <c:marker>
            <c:symbol val="none"/>
          </c:marker>
          <c:dLbls>
            <c:dLbl>
              <c:idx val="41"/>
              <c:layout>
                <c:manualLayout>
                  <c:x val="-2.6406637670201041E-2"/>
                  <c:y val="-3.84834565819957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BE-44AA-9E98-50472572861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'White M Products'!$A$30:$A$81</c:f>
              <c:strCache>
                <c:ptCount val="52"/>
                <c:pt idx="0">
                  <c:v>1975/76</c:v>
                </c:pt>
                <c:pt idx="1">
                  <c:v>1976/77</c:v>
                </c:pt>
                <c:pt idx="2">
                  <c:v>1977/78</c:v>
                </c:pt>
                <c:pt idx="3">
                  <c:v>1978/79</c:v>
                </c:pt>
                <c:pt idx="4">
                  <c:v>1979/80</c:v>
                </c:pt>
                <c:pt idx="5">
                  <c:v>1980/81</c:v>
                </c:pt>
                <c:pt idx="6">
                  <c:v>1981/82</c:v>
                </c:pt>
                <c:pt idx="7">
                  <c:v>1982/83</c:v>
                </c:pt>
                <c:pt idx="8">
                  <c:v>1983/84</c:v>
                </c:pt>
                <c:pt idx="9">
                  <c:v>1984/85</c:v>
                </c:pt>
                <c:pt idx="10">
                  <c:v>1985/86</c:v>
                </c:pt>
                <c:pt idx="11">
                  <c:v>1986/87</c:v>
                </c:pt>
                <c:pt idx="12">
                  <c:v>1987/88</c:v>
                </c:pt>
                <c:pt idx="13">
                  <c:v>1988/89</c:v>
                </c:pt>
                <c:pt idx="14">
                  <c:v>1989/90</c:v>
                </c:pt>
                <c:pt idx="15">
                  <c:v>1990/91</c:v>
                </c:pt>
                <c:pt idx="16">
                  <c:v>1991/92</c:v>
                </c:pt>
                <c:pt idx="17">
                  <c:v>1992/93</c:v>
                </c:pt>
                <c:pt idx="18">
                  <c:v>1993/94</c:v>
                </c:pt>
                <c:pt idx="19">
                  <c:v>1994/95</c:v>
                </c:pt>
                <c:pt idx="20">
                  <c:v>1995/96</c:v>
                </c:pt>
                <c:pt idx="21">
                  <c:v>1996/97</c:v>
                </c:pt>
                <c:pt idx="22">
                  <c:v>1997/98</c:v>
                </c:pt>
                <c:pt idx="23">
                  <c:v>1998/99</c:v>
                </c:pt>
                <c:pt idx="24">
                  <c:v>1999/00</c:v>
                </c:pt>
                <c:pt idx="25">
                  <c:v>2000/01</c:v>
                </c:pt>
                <c:pt idx="26">
                  <c:v>2001/02</c:v>
                </c:pt>
                <c:pt idx="27">
                  <c:v>2002/03</c:v>
                </c:pt>
                <c:pt idx="28">
                  <c:v>2003/04</c:v>
                </c:pt>
                <c:pt idx="29">
                  <c:v>2004/05</c:v>
                </c:pt>
                <c:pt idx="30">
                  <c:v>2005/06</c:v>
                </c:pt>
                <c:pt idx="31">
                  <c:v>2006/07</c:v>
                </c:pt>
                <c:pt idx="32">
                  <c:v>2007/08</c:v>
                </c:pt>
                <c:pt idx="33">
                  <c:v>2008/09</c:v>
                </c:pt>
                <c:pt idx="34">
                  <c:v>2009/10</c:v>
                </c:pt>
                <c:pt idx="35">
                  <c:v>2010/11</c:v>
                </c:pt>
                <c:pt idx="36">
                  <c:v>2011/12</c:v>
                </c:pt>
                <c:pt idx="37">
                  <c:v>2012/13</c:v>
                </c:pt>
                <c:pt idx="38">
                  <c:v>2013/14</c:v>
                </c:pt>
                <c:pt idx="39">
                  <c:v>2014/15</c:v>
                </c:pt>
                <c:pt idx="40">
                  <c:v>2015/16</c:v>
                </c:pt>
                <c:pt idx="41">
                  <c:v>2016/17</c:v>
                </c:pt>
                <c:pt idx="42">
                  <c:v>2017/18</c:v>
                </c:pt>
                <c:pt idx="43">
                  <c:v>2018/19</c:v>
                </c:pt>
                <c:pt idx="44">
                  <c:v>2019/20</c:v>
                </c:pt>
                <c:pt idx="45">
                  <c:v>2020/21</c:v>
                </c:pt>
                <c:pt idx="46">
                  <c:v>2021/22</c:v>
                </c:pt>
                <c:pt idx="47">
                  <c:v>2022/23</c:v>
                </c:pt>
                <c:pt idx="48">
                  <c:v>2023/24</c:v>
                </c:pt>
                <c:pt idx="49">
                  <c:v>2024/25</c:v>
                </c:pt>
                <c:pt idx="50">
                  <c:v>2025/26</c:v>
                </c:pt>
                <c:pt idx="51">
                  <c:v>2026/27</c:v>
                </c:pt>
              </c:strCache>
            </c:strRef>
          </c:cat>
          <c:val>
            <c:numRef>
              <c:f>'White M Products'!$F$30:$F$81</c:f>
              <c:numCache>
                <c:formatCode>#,##0</c:formatCode>
                <c:ptCount val="52"/>
                <c:pt idx="0">
                  <c:v>915000</c:v>
                </c:pt>
                <c:pt idx="1">
                  <c:v>965000</c:v>
                </c:pt>
                <c:pt idx="2">
                  <c:v>1017000</c:v>
                </c:pt>
                <c:pt idx="3">
                  <c:v>872000</c:v>
                </c:pt>
                <c:pt idx="4">
                  <c:v>915000</c:v>
                </c:pt>
                <c:pt idx="5">
                  <c:v>834000</c:v>
                </c:pt>
                <c:pt idx="6">
                  <c:v>778000</c:v>
                </c:pt>
                <c:pt idx="7">
                  <c:v>775000</c:v>
                </c:pt>
                <c:pt idx="8">
                  <c:v>779000</c:v>
                </c:pt>
                <c:pt idx="9">
                  <c:v>735000</c:v>
                </c:pt>
                <c:pt idx="10">
                  <c:v>749000</c:v>
                </c:pt>
                <c:pt idx="11">
                  <c:v>709000</c:v>
                </c:pt>
                <c:pt idx="12">
                  <c:v>668000</c:v>
                </c:pt>
                <c:pt idx="13">
                  <c:v>568000</c:v>
                </c:pt>
                <c:pt idx="14">
                  <c:v>529000</c:v>
                </c:pt>
                <c:pt idx="15">
                  <c:v>507000</c:v>
                </c:pt>
                <c:pt idx="16">
                  <c:v>515000</c:v>
                </c:pt>
                <c:pt idx="17">
                  <c:v>592000</c:v>
                </c:pt>
                <c:pt idx="18">
                  <c:v>620000</c:v>
                </c:pt>
                <c:pt idx="19">
                  <c:v>592000</c:v>
                </c:pt>
                <c:pt idx="20">
                  <c:v>548000</c:v>
                </c:pt>
                <c:pt idx="21">
                  <c:v>461000</c:v>
                </c:pt>
                <c:pt idx="41">
                  <c:v>28005</c:v>
                </c:pt>
                <c:pt idx="42">
                  <c:v>37556</c:v>
                </c:pt>
                <c:pt idx="43">
                  <c:v>28439</c:v>
                </c:pt>
                <c:pt idx="44">
                  <c:v>22100</c:v>
                </c:pt>
                <c:pt idx="45">
                  <c:v>21881</c:v>
                </c:pt>
                <c:pt idx="46">
                  <c:v>22311</c:v>
                </c:pt>
                <c:pt idx="47">
                  <c:v>25979</c:v>
                </c:pt>
                <c:pt idx="48">
                  <c:v>19898</c:v>
                </c:pt>
                <c:pt idx="49">
                  <c:v>18821</c:v>
                </c:pt>
                <c:pt idx="50">
                  <c:v>18533</c:v>
                </c:pt>
                <c:pt idx="51">
                  <c:v>2920</c:v>
                </c:pt>
              </c:numCache>
            </c:numRef>
          </c:val>
          <c:smooth val="0"/>
          <c:extLst>
            <c:ext xmlns:c16="http://schemas.microsoft.com/office/drawing/2014/chart" uri="{C3380CC4-5D6E-409C-BE32-E72D297353CC}">
              <c16:uniqueId val="{00000000-D4D7-4544-9B52-FBC9CA155ADE}"/>
            </c:ext>
          </c:extLst>
        </c:ser>
        <c:ser>
          <c:idx val="2"/>
          <c:order val="1"/>
          <c:tx>
            <c:v>Special WM Meal</c:v>
          </c:tx>
          <c:spPr>
            <a:ln>
              <a:solidFill>
                <a:schemeClr val="accent3">
                  <a:lumMod val="75000"/>
                </a:schemeClr>
              </a:solidFill>
            </a:ln>
          </c:spPr>
          <c:marker>
            <c:symbol val="none"/>
          </c:marker>
          <c:dLbls>
            <c:dLbl>
              <c:idx val="0"/>
              <c:layout>
                <c:manualLayout>
                  <c:x val="-1.2310437570895411E-2"/>
                  <c:y val="-4.3749999999999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015-4B05-AE01-B3B9A2694DD0}"/>
                </c:ext>
              </c:extLst>
            </c:dLbl>
            <c:dLbl>
              <c:idx val="10"/>
              <c:layout>
                <c:manualLayout>
                  <c:x val="-2.5988734750700529E-2"/>
                  <c:y val="-4.5720069916533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015-4B05-AE01-B3B9A2694DD0}"/>
                </c:ext>
              </c:extLst>
            </c:dLbl>
            <c:dLbl>
              <c:idx val="21"/>
              <c:layout>
                <c:manualLayout>
                  <c:x val="-3.2838347206078221E-2"/>
                  <c:y val="-3.31358280103072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FEF-45E8-8E43-35BF9518FC2C}"/>
                </c:ext>
              </c:extLst>
            </c:dLbl>
            <c:dLbl>
              <c:idx val="32"/>
              <c:layout>
                <c:manualLayout>
                  <c:x val="-3.0101890698246429E-2"/>
                  <c:y val="-4.16389824809718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FEF-45E8-8E43-35BF9518FC2C}"/>
                </c:ext>
              </c:extLst>
            </c:dLbl>
            <c:dLbl>
              <c:idx val="41"/>
              <c:layout>
                <c:manualLayout>
                  <c:x val="-4.4855567716323833E-2"/>
                  <c:y val="-4.37335798998107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89-4EAA-AB5D-D3825813ACD3}"/>
                </c:ext>
              </c:extLst>
            </c:dLbl>
            <c:dLbl>
              <c:idx val="48"/>
              <c:layout>
                <c:manualLayout>
                  <c:x val="-1.7598343446222381E-2"/>
                  <c:y val="-4.66142138403521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AD-48BE-81E0-94F1EE3FE3D2}"/>
                </c:ext>
              </c:extLst>
            </c:dLbl>
            <c:dLbl>
              <c:idx val="68"/>
              <c:layout>
                <c:manualLayout>
                  <c:x val="-1.6419213108134417E-2"/>
                  <c:y val="-4.99667789771662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FEF-45E8-8E43-35BF9518FC2C}"/>
                </c:ext>
              </c:extLst>
            </c:dLbl>
            <c:spPr>
              <a:noFill/>
              <a:ln>
                <a:noFill/>
              </a:ln>
              <a:effectLst/>
            </c:spPr>
            <c:txPr>
              <a:bodyPr wrap="square" lIns="38100" tIns="19050" rIns="38100" bIns="19050" anchor="ctr">
                <a:spAutoFit/>
              </a:bodyPr>
              <a:lstStyle/>
              <a:p>
                <a:pPr>
                  <a:defRPr>
                    <a:solidFill>
                      <a:schemeClr val="accent3">
                        <a:lumMod val="50000"/>
                      </a:schemeClr>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'White M Products'!$A$30:$A$81</c:f>
              <c:strCache>
                <c:ptCount val="52"/>
                <c:pt idx="0">
                  <c:v>1975/76</c:v>
                </c:pt>
                <c:pt idx="1">
                  <c:v>1976/77</c:v>
                </c:pt>
                <c:pt idx="2">
                  <c:v>1977/78</c:v>
                </c:pt>
                <c:pt idx="3">
                  <c:v>1978/79</c:v>
                </c:pt>
                <c:pt idx="4">
                  <c:v>1979/80</c:v>
                </c:pt>
                <c:pt idx="5">
                  <c:v>1980/81</c:v>
                </c:pt>
                <c:pt idx="6">
                  <c:v>1981/82</c:v>
                </c:pt>
                <c:pt idx="7">
                  <c:v>1982/83</c:v>
                </c:pt>
                <c:pt idx="8">
                  <c:v>1983/84</c:v>
                </c:pt>
                <c:pt idx="9">
                  <c:v>1984/85</c:v>
                </c:pt>
                <c:pt idx="10">
                  <c:v>1985/86</c:v>
                </c:pt>
                <c:pt idx="11">
                  <c:v>1986/87</c:v>
                </c:pt>
                <c:pt idx="12">
                  <c:v>1987/88</c:v>
                </c:pt>
                <c:pt idx="13">
                  <c:v>1988/89</c:v>
                </c:pt>
                <c:pt idx="14">
                  <c:v>1989/90</c:v>
                </c:pt>
                <c:pt idx="15">
                  <c:v>1990/91</c:v>
                </c:pt>
                <c:pt idx="16">
                  <c:v>1991/92</c:v>
                </c:pt>
                <c:pt idx="17">
                  <c:v>1992/93</c:v>
                </c:pt>
                <c:pt idx="18">
                  <c:v>1993/94</c:v>
                </c:pt>
                <c:pt idx="19">
                  <c:v>1994/95</c:v>
                </c:pt>
                <c:pt idx="20">
                  <c:v>1995/96</c:v>
                </c:pt>
                <c:pt idx="21">
                  <c:v>1996/97</c:v>
                </c:pt>
                <c:pt idx="22">
                  <c:v>1997/98</c:v>
                </c:pt>
                <c:pt idx="23">
                  <c:v>1998/99</c:v>
                </c:pt>
                <c:pt idx="24">
                  <c:v>1999/00</c:v>
                </c:pt>
                <c:pt idx="25">
                  <c:v>2000/01</c:v>
                </c:pt>
                <c:pt idx="26">
                  <c:v>2001/02</c:v>
                </c:pt>
                <c:pt idx="27">
                  <c:v>2002/03</c:v>
                </c:pt>
                <c:pt idx="28">
                  <c:v>2003/04</c:v>
                </c:pt>
                <c:pt idx="29">
                  <c:v>2004/05</c:v>
                </c:pt>
                <c:pt idx="30">
                  <c:v>2005/06</c:v>
                </c:pt>
                <c:pt idx="31">
                  <c:v>2006/07</c:v>
                </c:pt>
                <c:pt idx="32">
                  <c:v>2007/08</c:v>
                </c:pt>
                <c:pt idx="33">
                  <c:v>2008/09</c:v>
                </c:pt>
                <c:pt idx="34">
                  <c:v>2009/10</c:v>
                </c:pt>
                <c:pt idx="35">
                  <c:v>2010/11</c:v>
                </c:pt>
                <c:pt idx="36">
                  <c:v>2011/12</c:v>
                </c:pt>
                <c:pt idx="37">
                  <c:v>2012/13</c:v>
                </c:pt>
                <c:pt idx="38">
                  <c:v>2013/14</c:v>
                </c:pt>
                <c:pt idx="39">
                  <c:v>2014/15</c:v>
                </c:pt>
                <c:pt idx="40">
                  <c:v>2015/16</c:v>
                </c:pt>
                <c:pt idx="41">
                  <c:v>2016/17</c:v>
                </c:pt>
                <c:pt idx="42">
                  <c:v>2017/18</c:v>
                </c:pt>
                <c:pt idx="43">
                  <c:v>2018/19</c:v>
                </c:pt>
                <c:pt idx="44">
                  <c:v>2019/20</c:v>
                </c:pt>
                <c:pt idx="45">
                  <c:v>2020/21</c:v>
                </c:pt>
                <c:pt idx="46">
                  <c:v>2021/22</c:v>
                </c:pt>
                <c:pt idx="47">
                  <c:v>2022/23</c:v>
                </c:pt>
                <c:pt idx="48">
                  <c:v>2023/24</c:v>
                </c:pt>
                <c:pt idx="49">
                  <c:v>2024/25</c:v>
                </c:pt>
                <c:pt idx="50">
                  <c:v>2025/26</c:v>
                </c:pt>
                <c:pt idx="51">
                  <c:v>2026/27</c:v>
                </c:pt>
              </c:strCache>
            </c:strRef>
          </c:cat>
          <c:val>
            <c:numRef>
              <c:f>'White M Products'!$G$30:$G$81</c:f>
              <c:numCache>
                <c:formatCode>#,##0</c:formatCode>
                <c:ptCount val="52"/>
                <c:pt idx="0">
                  <c:v>617000</c:v>
                </c:pt>
                <c:pt idx="1">
                  <c:v>638000</c:v>
                </c:pt>
                <c:pt idx="2">
                  <c:v>699000</c:v>
                </c:pt>
                <c:pt idx="3">
                  <c:v>742000</c:v>
                </c:pt>
                <c:pt idx="4">
                  <c:v>809000</c:v>
                </c:pt>
                <c:pt idx="5">
                  <c:v>761000</c:v>
                </c:pt>
                <c:pt idx="6">
                  <c:v>798000</c:v>
                </c:pt>
                <c:pt idx="7">
                  <c:v>927000</c:v>
                </c:pt>
                <c:pt idx="8">
                  <c:v>931000</c:v>
                </c:pt>
                <c:pt idx="9">
                  <c:v>854000</c:v>
                </c:pt>
                <c:pt idx="10">
                  <c:v>900000</c:v>
                </c:pt>
                <c:pt idx="11">
                  <c:v>832000</c:v>
                </c:pt>
                <c:pt idx="12">
                  <c:v>870000</c:v>
                </c:pt>
                <c:pt idx="13">
                  <c:v>861000</c:v>
                </c:pt>
                <c:pt idx="14">
                  <c:v>902000</c:v>
                </c:pt>
                <c:pt idx="15">
                  <c:v>930000</c:v>
                </c:pt>
                <c:pt idx="16">
                  <c:v>954000</c:v>
                </c:pt>
                <c:pt idx="17">
                  <c:v>963000</c:v>
                </c:pt>
                <c:pt idx="18">
                  <c:v>971000</c:v>
                </c:pt>
                <c:pt idx="19">
                  <c:v>945000</c:v>
                </c:pt>
                <c:pt idx="20">
                  <c:v>936000</c:v>
                </c:pt>
                <c:pt idx="21">
                  <c:v>968000</c:v>
                </c:pt>
                <c:pt idx="41">
                  <c:v>401344</c:v>
                </c:pt>
                <c:pt idx="42">
                  <c:v>357886</c:v>
                </c:pt>
                <c:pt idx="43">
                  <c:v>371301</c:v>
                </c:pt>
                <c:pt idx="44">
                  <c:v>371313</c:v>
                </c:pt>
                <c:pt idx="45">
                  <c:v>295406</c:v>
                </c:pt>
                <c:pt idx="46">
                  <c:v>242736</c:v>
                </c:pt>
                <c:pt idx="47">
                  <c:v>249467</c:v>
                </c:pt>
                <c:pt idx="48">
                  <c:v>287553</c:v>
                </c:pt>
                <c:pt idx="49">
                  <c:v>224779</c:v>
                </c:pt>
                <c:pt idx="50">
                  <c:v>195943</c:v>
                </c:pt>
                <c:pt idx="51">
                  <c:v>42500</c:v>
                </c:pt>
              </c:numCache>
            </c:numRef>
          </c:val>
          <c:smooth val="0"/>
          <c:extLst>
            <c:ext xmlns:c16="http://schemas.microsoft.com/office/drawing/2014/chart" uri="{C3380CC4-5D6E-409C-BE32-E72D297353CC}">
              <c16:uniqueId val="{00000002-D4D7-4544-9B52-FBC9CA155ADE}"/>
            </c:ext>
          </c:extLst>
        </c:ser>
        <c:ser>
          <c:idx val="3"/>
          <c:order val="2"/>
          <c:tx>
            <c:v>Super WM Meal</c:v>
          </c:tx>
          <c:spPr>
            <a:ln>
              <a:solidFill>
                <a:srgbClr val="FF0000"/>
              </a:solidFill>
            </a:ln>
          </c:spPr>
          <c:marker>
            <c:symbol val="none"/>
          </c:marker>
          <c:dLbls>
            <c:dLbl>
              <c:idx val="41"/>
              <c:layout>
                <c:manualLayout>
                  <c:x val="1.4671059939911587E-3"/>
                  <c:y val="2.22698169853513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4D-4074-9383-9B9C0EA94209}"/>
                </c:ext>
              </c:extLst>
            </c:dLbl>
            <c:dLbl>
              <c:idx val="48"/>
              <c:layout>
                <c:manualLayout>
                  <c:x val="-5.866114482074055E-2"/>
                  <c:y val="0.1763233306135059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AD-48BE-81E0-94F1EE3FE3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'White M Products'!$A$30:$A$81</c:f>
              <c:strCache>
                <c:ptCount val="52"/>
                <c:pt idx="0">
                  <c:v>1975/76</c:v>
                </c:pt>
                <c:pt idx="1">
                  <c:v>1976/77</c:v>
                </c:pt>
                <c:pt idx="2">
                  <c:v>1977/78</c:v>
                </c:pt>
                <c:pt idx="3">
                  <c:v>1978/79</c:v>
                </c:pt>
                <c:pt idx="4">
                  <c:v>1979/80</c:v>
                </c:pt>
                <c:pt idx="5">
                  <c:v>1980/81</c:v>
                </c:pt>
                <c:pt idx="6">
                  <c:v>1981/82</c:v>
                </c:pt>
                <c:pt idx="7">
                  <c:v>1982/83</c:v>
                </c:pt>
                <c:pt idx="8">
                  <c:v>1983/84</c:v>
                </c:pt>
                <c:pt idx="9">
                  <c:v>1984/85</c:v>
                </c:pt>
                <c:pt idx="10">
                  <c:v>1985/86</c:v>
                </c:pt>
                <c:pt idx="11">
                  <c:v>1986/87</c:v>
                </c:pt>
                <c:pt idx="12">
                  <c:v>1987/88</c:v>
                </c:pt>
                <c:pt idx="13">
                  <c:v>1988/89</c:v>
                </c:pt>
                <c:pt idx="14">
                  <c:v>1989/90</c:v>
                </c:pt>
                <c:pt idx="15">
                  <c:v>1990/91</c:v>
                </c:pt>
                <c:pt idx="16">
                  <c:v>1991/92</c:v>
                </c:pt>
                <c:pt idx="17">
                  <c:v>1992/93</c:v>
                </c:pt>
                <c:pt idx="18">
                  <c:v>1993/94</c:v>
                </c:pt>
                <c:pt idx="19">
                  <c:v>1994/95</c:v>
                </c:pt>
                <c:pt idx="20">
                  <c:v>1995/96</c:v>
                </c:pt>
                <c:pt idx="21">
                  <c:v>1996/97</c:v>
                </c:pt>
                <c:pt idx="22">
                  <c:v>1997/98</c:v>
                </c:pt>
                <c:pt idx="23">
                  <c:v>1998/99</c:v>
                </c:pt>
                <c:pt idx="24">
                  <c:v>1999/00</c:v>
                </c:pt>
                <c:pt idx="25">
                  <c:v>2000/01</c:v>
                </c:pt>
                <c:pt idx="26">
                  <c:v>2001/02</c:v>
                </c:pt>
                <c:pt idx="27">
                  <c:v>2002/03</c:v>
                </c:pt>
                <c:pt idx="28">
                  <c:v>2003/04</c:v>
                </c:pt>
                <c:pt idx="29">
                  <c:v>2004/05</c:v>
                </c:pt>
                <c:pt idx="30">
                  <c:v>2005/06</c:v>
                </c:pt>
                <c:pt idx="31">
                  <c:v>2006/07</c:v>
                </c:pt>
                <c:pt idx="32">
                  <c:v>2007/08</c:v>
                </c:pt>
                <c:pt idx="33">
                  <c:v>2008/09</c:v>
                </c:pt>
                <c:pt idx="34">
                  <c:v>2009/10</c:v>
                </c:pt>
                <c:pt idx="35">
                  <c:v>2010/11</c:v>
                </c:pt>
                <c:pt idx="36">
                  <c:v>2011/12</c:v>
                </c:pt>
                <c:pt idx="37">
                  <c:v>2012/13</c:v>
                </c:pt>
                <c:pt idx="38">
                  <c:v>2013/14</c:v>
                </c:pt>
                <c:pt idx="39">
                  <c:v>2014/15</c:v>
                </c:pt>
                <c:pt idx="40">
                  <c:v>2015/16</c:v>
                </c:pt>
                <c:pt idx="41">
                  <c:v>2016/17</c:v>
                </c:pt>
                <c:pt idx="42">
                  <c:v>2017/18</c:v>
                </c:pt>
                <c:pt idx="43">
                  <c:v>2018/19</c:v>
                </c:pt>
                <c:pt idx="44">
                  <c:v>2019/20</c:v>
                </c:pt>
                <c:pt idx="45">
                  <c:v>2020/21</c:v>
                </c:pt>
                <c:pt idx="46">
                  <c:v>2021/22</c:v>
                </c:pt>
                <c:pt idx="47">
                  <c:v>2022/23</c:v>
                </c:pt>
                <c:pt idx="48">
                  <c:v>2023/24</c:v>
                </c:pt>
                <c:pt idx="49">
                  <c:v>2024/25</c:v>
                </c:pt>
                <c:pt idx="50">
                  <c:v>2025/26</c:v>
                </c:pt>
                <c:pt idx="51">
                  <c:v>2026/27</c:v>
                </c:pt>
              </c:strCache>
            </c:strRef>
          </c:cat>
          <c:val>
            <c:numRef>
              <c:f>'White M Products'!$H$30:$H$81</c:f>
              <c:numCache>
                <c:formatCode>#,##0</c:formatCode>
                <c:ptCount val="52"/>
                <c:pt idx="0">
                  <c:v>131000</c:v>
                </c:pt>
                <c:pt idx="1">
                  <c:v>163000</c:v>
                </c:pt>
                <c:pt idx="2">
                  <c:v>211000</c:v>
                </c:pt>
                <c:pt idx="3">
                  <c:v>232000</c:v>
                </c:pt>
                <c:pt idx="4">
                  <c:v>249000</c:v>
                </c:pt>
                <c:pt idx="5">
                  <c:v>269000</c:v>
                </c:pt>
                <c:pt idx="6">
                  <c:v>306000</c:v>
                </c:pt>
                <c:pt idx="7">
                  <c:v>334000</c:v>
                </c:pt>
                <c:pt idx="8">
                  <c:v>295000</c:v>
                </c:pt>
                <c:pt idx="9">
                  <c:v>272000</c:v>
                </c:pt>
                <c:pt idx="10">
                  <c:v>293000</c:v>
                </c:pt>
                <c:pt idx="11">
                  <c:v>284000</c:v>
                </c:pt>
                <c:pt idx="12">
                  <c:v>334000</c:v>
                </c:pt>
                <c:pt idx="13">
                  <c:v>348000</c:v>
                </c:pt>
                <c:pt idx="14">
                  <c:v>385000</c:v>
                </c:pt>
                <c:pt idx="15">
                  <c:v>415000</c:v>
                </c:pt>
                <c:pt idx="16">
                  <c:v>447000</c:v>
                </c:pt>
                <c:pt idx="17">
                  <c:v>415000</c:v>
                </c:pt>
                <c:pt idx="18">
                  <c:v>448000</c:v>
                </c:pt>
                <c:pt idx="19">
                  <c:v>493000</c:v>
                </c:pt>
                <c:pt idx="20">
                  <c:v>508000</c:v>
                </c:pt>
                <c:pt idx="21">
                  <c:v>623000</c:v>
                </c:pt>
                <c:pt idx="41">
                  <c:v>2275099</c:v>
                </c:pt>
                <c:pt idx="42">
                  <c:v>2388000</c:v>
                </c:pt>
                <c:pt idx="43">
                  <c:v>2495637</c:v>
                </c:pt>
                <c:pt idx="44">
                  <c:v>2725436</c:v>
                </c:pt>
                <c:pt idx="45">
                  <c:v>2862883</c:v>
                </c:pt>
                <c:pt idx="46">
                  <c:v>2693285</c:v>
                </c:pt>
                <c:pt idx="47">
                  <c:v>2719115</c:v>
                </c:pt>
                <c:pt idx="48">
                  <c:v>3268041</c:v>
                </c:pt>
                <c:pt idx="49">
                  <c:v>3057913</c:v>
                </c:pt>
                <c:pt idx="50">
                  <c:v>2994637</c:v>
                </c:pt>
                <c:pt idx="51">
                  <c:v>693110</c:v>
                </c:pt>
              </c:numCache>
            </c:numRef>
          </c:val>
          <c:smooth val="0"/>
          <c:extLst>
            <c:ext xmlns:c16="http://schemas.microsoft.com/office/drawing/2014/chart" uri="{C3380CC4-5D6E-409C-BE32-E72D297353CC}">
              <c16:uniqueId val="{00000003-D4D7-4544-9B52-FBC9CA155ADE}"/>
            </c:ext>
          </c:extLst>
        </c:ser>
        <c:ser>
          <c:idx val="5"/>
          <c:order val="3"/>
          <c:tx>
            <c:v>Unsifted WM Meal</c:v>
          </c:tx>
          <c:spPr>
            <a:ln>
              <a:solidFill>
                <a:schemeClr val="accent6">
                  <a:lumMod val="75000"/>
                </a:schemeClr>
              </a:solidFill>
            </a:ln>
          </c:spPr>
          <c:marker>
            <c:symbol val="none"/>
          </c:marker>
          <c:cat>
            <c:strRef>
              <c:f>'White M Products'!$A$30:$A$81</c:f>
              <c:strCache>
                <c:ptCount val="52"/>
                <c:pt idx="0">
                  <c:v>1975/76</c:v>
                </c:pt>
                <c:pt idx="1">
                  <c:v>1976/77</c:v>
                </c:pt>
                <c:pt idx="2">
                  <c:v>1977/78</c:v>
                </c:pt>
                <c:pt idx="3">
                  <c:v>1978/79</c:v>
                </c:pt>
                <c:pt idx="4">
                  <c:v>1979/80</c:v>
                </c:pt>
                <c:pt idx="5">
                  <c:v>1980/81</c:v>
                </c:pt>
                <c:pt idx="6">
                  <c:v>1981/82</c:v>
                </c:pt>
                <c:pt idx="7">
                  <c:v>1982/83</c:v>
                </c:pt>
                <c:pt idx="8">
                  <c:v>1983/84</c:v>
                </c:pt>
                <c:pt idx="9">
                  <c:v>1984/85</c:v>
                </c:pt>
                <c:pt idx="10">
                  <c:v>1985/86</c:v>
                </c:pt>
                <c:pt idx="11">
                  <c:v>1986/87</c:v>
                </c:pt>
                <c:pt idx="12">
                  <c:v>1987/88</c:v>
                </c:pt>
                <c:pt idx="13">
                  <c:v>1988/89</c:v>
                </c:pt>
                <c:pt idx="14">
                  <c:v>1989/90</c:v>
                </c:pt>
                <c:pt idx="15">
                  <c:v>1990/91</c:v>
                </c:pt>
                <c:pt idx="16">
                  <c:v>1991/92</c:v>
                </c:pt>
                <c:pt idx="17">
                  <c:v>1992/93</c:v>
                </c:pt>
                <c:pt idx="18">
                  <c:v>1993/94</c:v>
                </c:pt>
                <c:pt idx="19">
                  <c:v>1994/95</c:v>
                </c:pt>
                <c:pt idx="20">
                  <c:v>1995/96</c:v>
                </c:pt>
                <c:pt idx="21">
                  <c:v>1996/97</c:v>
                </c:pt>
                <c:pt idx="22">
                  <c:v>1997/98</c:v>
                </c:pt>
                <c:pt idx="23">
                  <c:v>1998/99</c:v>
                </c:pt>
                <c:pt idx="24">
                  <c:v>1999/00</c:v>
                </c:pt>
                <c:pt idx="25">
                  <c:v>2000/01</c:v>
                </c:pt>
                <c:pt idx="26">
                  <c:v>2001/02</c:v>
                </c:pt>
                <c:pt idx="27">
                  <c:v>2002/03</c:v>
                </c:pt>
                <c:pt idx="28">
                  <c:v>2003/04</c:v>
                </c:pt>
                <c:pt idx="29">
                  <c:v>2004/05</c:v>
                </c:pt>
                <c:pt idx="30">
                  <c:v>2005/06</c:v>
                </c:pt>
                <c:pt idx="31">
                  <c:v>2006/07</c:v>
                </c:pt>
                <c:pt idx="32">
                  <c:v>2007/08</c:v>
                </c:pt>
                <c:pt idx="33">
                  <c:v>2008/09</c:v>
                </c:pt>
                <c:pt idx="34">
                  <c:v>2009/10</c:v>
                </c:pt>
                <c:pt idx="35">
                  <c:v>2010/11</c:v>
                </c:pt>
                <c:pt idx="36">
                  <c:v>2011/12</c:v>
                </c:pt>
                <c:pt idx="37">
                  <c:v>2012/13</c:v>
                </c:pt>
                <c:pt idx="38">
                  <c:v>2013/14</c:v>
                </c:pt>
                <c:pt idx="39">
                  <c:v>2014/15</c:v>
                </c:pt>
                <c:pt idx="40">
                  <c:v>2015/16</c:v>
                </c:pt>
                <c:pt idx="41">
                  <c:v>2016/17</c:v>
                </c:pt>
                <c:pt idx="42">
                  <c:v>2017/18</c:v>
                </c:pt>
                <c:pt idx="43">
                  <c:v>2018/19</c:v>
                </c:pt>
                <c:pt idx="44">
                  <c:v>2019/20</c:v>
                </c:pt>
                <c:pt idx="45">
                  <c:v>2020/21</c:v>
                </c:pt>
                <c:pt idx="46">
                  <c:v>2021/22</c:v>
                </c:pt>
                <c:pt idx="47">
                  <c:v>2022/23</c:v>
                </c:pt>
                <c:pt idx="48">
                  <c:v>2023/24</c:v>
                </c:pt>
                <c:pt idx="49">
                  <c:v>2024/25</c:v>
                </c:pt>
                <c:pt idx="50">
                  <c:v>2025/26</c:v>
                </c:pt>
                <c:pt idx="51">
                  <c:v>2026/27</c:v>
                </c:pt>
              </c:strCache>
            </c:strRef>
          </c:cat>
          <c:val>
            <c:numRef>
              <c:f>'White M Products'!$I$30:$I$81</c:f>
              <c:numCache>
                <c:formatCode>#,##0</c:formatCode>
                <c:ptCount val="52"/>
                <c:pt idx="0">
                  <c:v>266000</c:v>
                </c:pt>
                <c:pt idx="1">
                  <c:v>278000</c:v>
                </c:pt>
                <c:pt idx="2">
                  <c:v>293000</c:v>
                </c:pt>
                <c:pt idx="3">
                  <c:v>280000</c:v>
                </c:pt>
                <c:pt idx="4">
                  <c:v>283000</c:v>
                </c:pt>
                <c:pt idx="5">
                  <c:v>276000</c:v>
                </c:pt>
                <c:pt idx="6">
                  <c:v>257000</c:v>
                </c:pt>
                <c:pt idx="7">
                  <c:v>246000</c:v>
                </c:pt>
                <c:pt idx="8">
                  <c:v>255000</c:v>
                </c:pt>
                <c:pt idx="9">
                  <c:v>207000</c:v>
                </c:pt>
                <c:pt idx="10">
                  <c:v>227000</c:v>
                </c:pt>
                <c:pt idx="11">
                  <c:v>219000</c:v>
                </c:pt>
                <c:pt idx="12">
                  <c:v>215000</c:v>
                </c:pt>
                <c:pt idx="13">
                  <c:v>193000</c:v>
                </c:pt>
                <c:pt idx="14">
                  <c:v>176000</c:v>
                </c:pt>
                <c:pt idx="15">
                  <c:v>178000</c:v>
                </c:pt>
                <c:pt idx="16">
                  <c:v>176000</c:v>
                </c:pt>
                <c:pt idx="17">
                  <c:v>200000</c:v>
                </c:pt>
                <c:pt idx="18">
                  <c:v>173000</c:v>
                </c:pt>
                <c:pt idx="19">
                  <c:v>112000</c:v>
                </c:pt>
                <c:pt idx="20">
                  <c:v>117000</c:v>
                </c:pt>
                <c:pt idx="21">
                  <c:v>77000</c:v>
                </c:pt>
                <c:pt idx="41">
                  <c:v>12290</c:v>
                </c:pt>
                <c:pt idx="42">
                  <c:v>10376</c:v>
                </c:pt>
                <c:pt idx="43">
                  <c:v>8568</c:v>
                </c:pt>
                <c:pt idx="44">
                  <c:v>12540</c:v>
                </c:pt>
                <c:pt idx="45">
                  <c:v>9987</c:v>
                </c:pt>
                <c:pt idx="46">
                  <c:v>6580</c:v>
                </c:pt>
                <c:pt idx="47">
                  <c:v>957</c:v>
                </c:pt>
                <c:pt idx="48">
                  <c:v>30</c:v>
                </c:pt>
                <c:pt idx="49">
                  <c:v>14</c:v>
                </c:pt>
                <c:pt idx="50">
                  <c:v>1702</c:v>
                </c:pt>
                <c:pt idx="51">
                  <c:v>1730</c:v>
                </c:pt>
              </c:numCache>
            </c:numRef>
          </c:val>
          <c:smooth val="0"/>
          <c:extLst>
            <c:ext xmlns:c16="http://schemas.microsoft.com/office/drawing/2014/chart" uri="{C3380CC4-5D6E-409C-BE32-E72D297353CC}">
              <c16:uniqueId val="{00000005-D4D7-4544-9B52-FBC9CA155ADE}"/>
            </c:ext>
          </c:extLst>
        </c:ser>
        <c:ser>
          <c:idx val="7"/>
          <c:order val="4"/>
          <c:tx>
            <c:v>Total WM Meal</c:v>
          </c:tx>
          <c:spPr>
            <a:ln w="28575">
              <a:solidFill>
                <a:srgbClr val="0000FF"/>
              </a:solidFill>
              <a:prstDash val="solid"/>
            </a:ln>
          </c:spPr>
          <c:marker>
            <c:symbol val="none"/>
          </c:marker>
          <c:dLbls>
            <c:dLbl>
              <c:idx val="0"/>
              <c:layout>
                <c:manualLayout>
                  <c:x val="-1.484577315273399E-2"/>
                  <c:y val="-8.22957109337859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FEF-45E8-8E43-35BF9518FC2C}"/>
                </c:ext>
              </c:extLst>
            </c:dLbl>
            <c:dLbl>
              <c:idx val="10"/>
              <c:layout>
                <c:manualLayout>
                  <c:x val="-4.3778881664535363E-2"/>
                  <c:y val="-3.34203646185829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FEF-45E8-8E43-35BF9518FC2C}"/>
                </c:ext>
              </c:extLst>
            </c:dLbl>
            <c:dLbl>
              <c:idx val="21"/>
              <c:layout>
                <c:manualLayout>
                  <c:x val="-3.556348631592008E-2"/>
                  <c:y val="-3.95833333333333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015-4B05-AE01-B3B9A2694DD0}"/>
                </c:ext>
              </c:extLst>
            </c:dLbl>
            <c:dLbl>
              <c:idx val="25"/>
              <c:layout>
                <c:manualLayout>
                  <c:x val="-1.3682677590111963E-2"/>
                  <c:y val="2.70653386126317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FEF-45E8-8E43-35BF9518FC2C}"/>
                </c:ext>
              </c:extLst>
            </c:dLbl>
            <c:dLbl>
              <c:idx val="33"/>
              <c:layout>
                <c:manualLayout>
                  <c:x val="-6.8413387950560069E-3"/>
                  <c:y val="-2.29014403645345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FEF-45E8-8E43-35BF9518FC2C}"/>
                </c:ext>
              </c:extLst>
            </c:dLbl>
            <c:dLbl>
              <c:idx val="41"/>
              <c:layout>
                <c:manualLayout>
                  <c:x val="-8.6424148252879529E-2"/>
                  <c:y val="-2.52977460966380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B89-4EAA-AB5D-D3825813ACD3}"/>
                </c:ext>
              </c:extLst>
            </c:dLbl>
            <c:dLbl>
              <c:idx val="48"/>
              <c:layout>
                <c:manualLayout>
                  <c:x val="-5.8661144820741622E-3"/>
                  <c:y val="-1.41869346470636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AD-48BE-81E0-94F1EE3FE3D2}"/>
                </c:ext>
              </c:extLst>
            </c:dLbl>
            <c:dLbl>
              <c:idx val="68"/>
              <c:layout>
                <c:manualLayout>
                  <c:x val="-3.5574961734291338E-2"/>
                  <c:y val="-8.32779649619439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AFEF-45E8-8E43-35BF9518FC2C}"/>
                </c:ext>
              </c:extLst>
            </c:dLbl>
            <c:spPr>
              <a:noFill/>
              <a:ln>
                <a:noFill/>
              </a:ln>
              <a:effectLst/>
            </c:spPr>
            <c:txPr>
              <a:bodyPr wrap="square" lIns="38100" tIns="19050" rIns="38100" bIns="19050" anchor="ctr">
                <a:spAutoFit/>
              </a:bodyPr>
              <a:lstStyle/>
              <a:p>
                <a:pPr>
                  <a:defRPr>
                    <a:solidFill>
                      <a:srgbClr val="0000FF"/>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'White M Products'!$A$30:$A$81</c:f>
              <c:strCache>
                <c:ptCount val="52"/>
                <c:pt idx="0">
                  <c:v>1975/76</c:v>
                </c:pt>
                <c:pt idx="1">
                  <c:v>1976/77</c:v>
                </c:pt>
                <c:pt idx="2">
                  <c:v>1977/78</c:v>
                </c:pt>
                <c:pt idx="3">
                  <c:v>1978/79</c:v>
                </c:pt>
                <c:pt idx="4">
                  <c:v>1979/80</c:v>
                </c:pt>
                <c:pt idx="5">
                  <c:v>1980/81</c:v>
                </c:pt>
                <c:pt idx="6">
                  <c:v>1981/82</c:v>
                </c:pt>
                <c:pt idx="7">
                  <c:v>1982/83</c:v>
                </c:pt>
                <c:pt idx="8">
                  <c:v>1983/84</c:v>
                </c:pt>
                <c:pt idx="9">
                  <c:v>1984/85</c:v>
                </c:pt>
                <c:pt idx="10">
                  <c:v>1985/86</c:v>
                </c:pt>
                <c:pt idx="11">
                  <c:v>1986/87</c:v>
                </c:pt>
                <c:pt idx="12">
                  <c:v>1987/88</c:v>
                </c:pt>
                <c:pt idx="13">
                  <c:v>1988/89</c:v>
                </c:pt>
                <c:pt idx="14">
                  <c:v>1989/90</c:v>
                </c:pt>
                <c:pt idx="15">
                  <c:v>1990/91</c:v>
                </c:pt>
                <c:pt idx="16">
                  <c:v>1991/92</c:v>
                </c:pt>
                <c:pt idx="17">
                  <c:v>1992/93</c:v>
                </c:pt>
                <c:pt idx="18">
                  <c:v>1993/94</c:v>
                </c:pt>
                <c:pt idx="19">
                  <c:v>1994/95</c:v>
                </c:pt>
                <c:pt idx="20">
                  <c:v>1995/96</c:v>
                </c:pt>
                <c:pt idx="21">
                  <c:v>1996/97</c:v>
                </c:pt>
                <c:pt idx="22">
                  <c:v>1997/98</c:v>
                </c:pt>
                <c:pt idx="23">
                  <c:v>1998/99</c:v>
                </c:pt>
                <c:pt idx="24">
                  <c:v>1999/00</c:v>
                </c:pt>
                <c:pt idx="25">
                  <c:v>2000/01</c:v>
                </c:pt>
                <c:pt idx="26">
                  <c:v>2001/02</c:v>
                </c:pt>
                <c:pt idx="27">
                  <c:v>2002/03</c:v>
                </c:pt>
                <c:pt idx="28">
                  <c:v>2003/04</c:v>
                </c:pt>
                <c:pt idx="29">
                  <c:v>2004/05</c:v>
                </c:pt>
                <c:pt idx="30">
                  <c:v>2005/06</c:v>
                </c:pt>
                <c:pt idx="31">
                  <c:v>2006/07</c:v>
                </c:pt>
                <c:pt idx="32">
                  <c:v>2007/08</c:v>
                </c:pt>
                <c:pt idx="33">
                  <c:v>2008/09</c:v>
                </c:pt>
                <c:pt idx="34">
                  <c:v>2009/10</c:v>
                </c:pt>
                <c:pt idx="35">
                  <c:v>2010/11</c:v>
                </c:pt>
                <c:pt idx="36">
                  <c:v>2011/12</c:v>
                </c:pt>
                <c:pt idx="37">
                  <c:v>2012/13</c:v>
                </c:pt>
                <c:pt idx="38">
                  <c:v>2013/14</c:v>
                </c:pt>
                <c:pt idx="39">
                  <c:v>2014/15</c:v>
                </c:pt>
                <c:pt idx="40">
                  <c:v>2015/16</c:v>
                </c:pt>
                <c:pt idx="41">
                  <c:v>2016/17</c:v>
                </c:pt>
                <c:pt idx="42">
                  <c:v>2017/18</c:v>
                </c:pt>
                <c:pt idx="43">
                  <c:v>2018/19</c:v>
                </c:pt>
                <c:pt idx="44">
                  <c:v>2019/20</c:v>
                </c:pt>
                <c:pt idx="45">
                  <c:v>2020/21</c:v>
                </c:pt>
                <c:pt idx="46">
                  <c:v>2021/22</c:v>
                </c:pt>
                <c:pt idx="47">
                  <c:v>2022/23</c:v>
                </c:pt>
                <c:pt idx="48">
                  <c:v>2023/24</c:v>
                </c:pt>
                <c:pt idx="49">
                  <c:v>2024/25</c:v>
                </c:pt>
                <c:pt idx="50">
                  <c:v>2025/26</c:v>
                </c:pt>
                <c:pt idx="51">
                  <c:v>2026/27</c:v>
                </c:pt>
              </c:strCache>
            </c:strRef>
          </c:cat>
          <c:val>
            <c:numRef>
              <c:f>'White M Products'!$K$30:$K$81</c:f>
              <c:numCache>
                <c:formatCode>#,##0</c:formatCode>
                <c:ptCount val="52"/>
                <c:pt idx="0">
                  <c:v>2125000</c:v>
                </c:pt>
                <c:pt idx="1">
                  <c:v>2268000</c:v>
                </c:pt>
                <c:pt idx="2">
                  <c:v>2253000</c:v>
                </c:pt>
                <c:pt idx="3">
                  <c:v>2160000</c:v>
                </c:pt>
                <c:pt idx="4">
                  <c:v>2270000</c:v>
                </c:pt>
                <c:pt idx="5">
                  <c:v>2152000</c:v>
                </c:pt>
                <c:pt idx="6">
                  <c:v>2161000</c:v>
                </c:pt>
                <c:pt idx="7">
                  <c:v>2294000</c:v>
                </c:pt>
                <c:pt idx="8">
                  <c:v>2275000</c:v>
                </c:pt>
                <c:pt idx="9">
                  <c:v>2086000</c:v>
                </c:pt>
                <c:pt idx="10">
                  <c:v>2181000</c:v>
                </c:pt>
                <c:pt idx="11">
                  <c:v>2058000</c:v>
                </c:pt>
                <c:pt idx="12">
                  <c:v>2099000</c:v>
                </c:pt>
                <c:pt idx="13">
                  <c:v>1987000</c:v>
                </c:pt>
                <c:pt idx="14">
                  <c:v>2002000</c:v>
                </c:pt>
                <c:pt idx="15">
                  <c:v>2053000</c:v>
                </c:pt>
                <c:pt idx="16">
                  <c:v>2109000</c:v>
                </c:pt>
                <c:pt idx="17">
                  <c:v>2183000</c:v>
                </c:pt>
                <c:pt idx="18">
                  <c:v>2223000</c:v>
                </c:pt>
                <c:pt idx="19">
                  <c:v>2153000</c:v>
                </c:pt>
                <c:pt idx="20">
                  <c:v>2128000</c:v>
                </c:pt>
                <c:pt idx="21">
                  <c:v>2149000</c:v>
                </c:pt>
                <c:pt idx="41">
                  <c:v>2807213</c:v>
                </c:pt>
                <c:pt idx="42">
                  <c:v>2869565</c:v>
                </c:pt>
                <c:pt idx="43">
                  <c:v>2903945</c:v>
                </c:pt>
                <c:pt idx="44">
                  <c:v>3131389</c:v>
                </c:pt>
                <c:pt idx="45">
                  <c:v>3190157</c:v>
                </c:pt>
                <c:pt idx="46">
                  <c:v>2964912</c:v>
                </c:pt>
                <c:pt idx="47">
                  <c:v>2995518</c:v>
                </c:pt>
                <c:pt idx="48">
                  <c:v>3575522</c:v>
                </c:pt>
                <c:pt idx="49">
                  <c:v>3301527</c:v>
                </c:pt>
                <c:pt idx="50">
                  <c:v>3210815</c:v>
                </c:pt>
                <c:pt idx="51">
                  <c:v>740260</c:v>
                </c:pt>
              </c:numCache>
            </c:numRef>
          </c:val>
          <c:smooth val="0"/>
          <c:extLst>
            <c:ext xmlns:c16="http://schemas.microsoft.com/office/drawing/2014/chart" uri="{C3380CC4-5D6E-409C-BE32-E72D297353CC}">
              <c16:uniqueId val="{00000007-D4D7-4544-9B52-FBC9CA155ADE}"/>
            </c:ext>
          </c:extLst>
        </c:ser>
        <c:dLbls>
          <c:showLegendKey val="0"/>
          <c:showVal val="0"/>
          <c:showCatName val="0"/>
          <c:showSerName val="0"/>
          <c:showPercent val="0"/>
          <c:showBubbleSize val="0"/>
        </c:dLbls>
        <c:smooth val="0"/>
        <c:axId val="83802752"/>
        <c:axId val="83808640"/>
      </c:lineChart>
      <c:catAx>
        <c:axId val="83802752"/>
        <c:scaling>
          <c:orientation val="minMax"/>
        </c:scaling>
        <c:delete val="0"/>
        <c:axPos val="b"/>
        <c:numFmt formatCode="General" sourceLinked="0"/>
        <c:majorTickMark val="out"/>
        <c:minorTickMark val="none"/>
        <c:tickLblPos val="nextTo"/>
        <c:txPr>
          <a:bodyPr rot="-5400000" vert="horz"/>
          <a:lstStyle/>
          <a:p>
            <a:pPr>
              <a:defRPr sz="1100">
                <a:latin typeface="Arial Narrow" panose="020B0606020202030204" pitchFamily="34" charset="0"/>
              </a:defRPr>
            </a:pPr>
            <a:endParaRPr lang="en-US"/>
          </a:p>
        </c:txPr>
        <c:crossAx val="83808640"/>
        <c:crosses val="autoZero"/>
        <c:auto val="1"/>
        <c:lblAlgn val="ctr"/>
        <c:lblOffset val="100"/>
        <c:noMultiLvlLbl val="0"/>
      </c:catAx>
      <c:valAx>
        <c:axId val="83808640"/>
        <c:scaling>
          <c:orientation val="minMax"/>
          <c:min val="0"/>
        </c:scaling>
        <c:delete val="0"/>
        <c:axPos val="l"/>
        <c:majorGridlines/>
        <c:minorGridlines/>
        <c:numFmt formatCode="#,##0" sourceLinked="1"/>
        <c:majorTickMark val="out"/>
        <c:minorTickMark val="none"/>
        <c:tickLblPos val="nextTo"/>
        <c:txPr>
          <a:bodyPr/>
          <a:lstStyle/>
          <a:p>
            <a:pPr>
              <a:defRPr sz="1200" b="1">
                <a:latin typeface="Arial Narrow" panose="020B0606020202030204" pitchFamily="34" charset="0"/>
              </a:defRPr>
            </a:pPr>
            <a:endParaRPr lang="en-US"/>
          </a:p>
        </c:txPr>
        <c:crossAx val="83802752"/>
        <c:crosses val="autoZero"/>
        <c:crossBetween val="between"/>
      </c:valAx>
    </c:plotArea>
    <c:legend>
      <c:legendPos val="r"/>
      <c:legendEntry>
        <c:idx val="4"/>
        <c:txPr>
          <a:bodyPr/>
          <a:lstStyle/>
          <a:p>
            <a:pPr>
              <a:defRPr sz="1400">
                <a:solidFill>
                  <a:srgbClr val="0000FF"/>
                </a:solidFill>
                <a:latin typeface="Arial Narrow" panose="020B0606020202030204" pitchFamily="34" charset="0"/>
              </a:defRPr>
            </a:pPr>
            <a:endParaRPr lang="en-US"/>
          </a:p>
        </c:txPr>
      </c:legendEntry>
      <c:layout>
        <c:manualLayout>
          <c:xMode val="edge"/>
          <c:yMode val="edge"/>
          <c:x val="7.3132723103255595E-2"/>
          <c:y val="6.4579888451443565E-2"/>
          <c:w val="0.86121160985196876"/>
          <c:h val="4.7204724409448819E-2"/>
        </c:manualLayout>
      </c:layout>
      <c:overlay val="0"/>
      <c:spPr>
        <a:noFill/>
      </c:spPr>
      <c:txPr>
        <a:bodyPr/>
        <a:lstStyle/>
        <a:p>
          <a:pPr>
            <a:defRPr sz="1400">
              <a:latin typeface="Arial Narrow" panose="020B0606020202030204" pitchFamily="34" charset="0"/>
            </a:defRPr>
          </a:pPr>
          <a:endParaRPr lang="en-US"/>
        </a:p>
      </c:txPr>
    </c:legend>
    <c:plotVisOnly val="1"/>
    <c:dispBlanksAs val="gap"/>
    <c:showDLblsOverMax val="0"/>
  </c:chart>
  <c:spPr>
    <a:solidFill>
      <a:schemeClr val="bg1">
        <a:lumMod val="95000"/>
      </a:schemeClr>
    </a:solidFill>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atin typeface="Arial Narrow" panose="020B0606020202030204" pitchFamily="34" charset="0"/>
              </a:defRPr>
            </a:pPr>
            <a:r>
              <a:rPr lang="en-US">
                <a:latin typeface="Arial Narrow" panose="020B0606020202030204" pitchFamily="34" charset="0"/>
              </a:rPr>
              <a:t>Maize products historic information</a:t>
            </a:r>
          </a:p>
        </c:rich>
      </c:tx>
      <c:layout>
        <c:manualLayout>
          <c:xMode val="edge"/>
          <c:yMode val="edge"/>
          <c:x val="0.32478822385480621"/>
          <c:y val="4.1666666666666666E-3"/>
        </c:manualLayout>
      </c:layout>
      <c:overlay val="0"/>
    </c:title>
    <c:autoTitleDeleted val="0"/>
    <c:plotArea>
      <c:layout>
        <c:manualLayout>
          <c:layoutTarget val="inner"/>
          <c:xMode val="edge"/>
          <c:yMode val="edge"/>
          <c:x val="6.6279158935395946E-2"/>
          <c:y val="0.10224491469816271"/>
          <c:w val="0.90043636220355994"/>
          <c:h val="0.79957463910761151"/>
        </c:manualLayout>
      </c:layout>
      <c:lineChart>
        <c:grouping val="standard"/>
        <c:varyColors val="0"/>
        <c:ser>
          <c:idx val="3"/>
          <c:order val="0"/>
          <c:tx>
            <c:v>WM Rice</c:v>
          </c:tx>
          <c:spPr>
            <a:ln>
              <a:solidFill>
                <a:srgbClr val="D96709"/>
              </a:solidFill>
            </a:ln>
          </c:spPr>
          <c:marker>
            <c:symbol val="none"/>
          </c:marker>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Products'!$B$4:$B$82</c:f>
              <c:numCache>
                <c:formatCode>#,##0</c:formatCode>
                <c:ptCount val="79"/>
                <c:pt idx="0">
                  <c:v>49713.683199999999</c:v>
                </c:pt>
                <c:pt idx="1">
                  <c:v>65226.529600000002</c:v>
                </c:pt>
                <c:pt idx="2">
                  <c:v>59964.862399999998</c:v>
                </c:pt>
                <c:pt idx="3">
                  <c:v>57696.902399999999</c:v>
                </c:pt>
                <c:pt idx="4">
                  <c:v>57696.902399999999</c:v>
                </c:pt>
                <c:pt idx="5">
                  <c:v>56699</c:v>
                </c:pt>
                <c:pt idx="6">
                  <c:v>59601.988799999999</c:v>
                </c:pt>
                <c:pt idx="7">
                  <c:v>59148.396799999995</c:v>
                </c:pt>
                <c:pt idx="8">
                  <c:v>54975.350399999996</c:v>
                </c:pt>
                <c:pt idx="9">
                  <c:v>53977.447999999997</c:v>
                </c:pt>
                <c:pt idx="10">
                  <c:v>49350.809600000001</c:v>
                </c:pt>
                <c:pt idx="11">
                  <c:v>44724.171200000004</c:v>
                </c:pt>
                <c:pt idx="12">
                  <c:v>46175.6656</c:v>
                </c:pt>
                <c:pt idx="13">
                  <c:v>46901.412799999998</c:v>
                </c:pt>
                <c:pt idx="14">
                  <c:v>46175.6656</c:v>
                </c:pt>
                <c:pt idx="15">
                  <c:v>45903.510399999999</c:v>
                </c:pt>
                <c:pt idx="16">
                  <c:v>39825.3776</c:v>
                </c:pt>
                <c:pt idx="17">
                  <c:v>36000</c:v>
                </c:pt>
                <c:pt idx="18">
                  <c:v>38000</c:v>
                </c:pt>
                <c:pt idx="19">
                  <c:v>39000</c:v>
                </c:pt>
                <c:pt idx="20">
                  <c:v>38000</c:v>
                </c:pt>
                <c:pt idx="21">
                  <c:v>36000</c:v>
                </c:pt>
                <c:pt idx="22">
                  <c:v>36000</c:v>
                </c:pt>
                <c:pt idx="23">
                  <c:v>39000</c:v>
                </c:pt>
                <c:pt idx="24">
                  <c:v>42000</c:v>
                </c:pt>
                <c:pt idx="25">
                  <c:v>48000</c:v>
                </c:pt>
                <c:pt idx="26">
                  <c:v>49000</c:v>
                </c:pt>
                <c:pt idx="27">
                  <c:v>50000</c:v>
                </c:pt>
                <c:pt idx="28">
                  <c:v>56000</c:v>
                </c:pt>
                <c:pt idx="29">
                  <c:v>55000</c:v>
                </c:pt>
                <c:pt idx="30">
                  <c:v>53000</c:v>
                </c:pt>
                <c:pt idx="31">
                  <c:v>50000</c:v>
                </c:pt>
                <c:pt idx="32">
                  <c:v>50000</c:v>
                </c:pt>
                <c:pt idx="33">
                  <c:v>49000</c:v>
                </c:pt>
                <c:pt idx="34">
                  <c:v>43000</c:v>
                </c:pt>
                <c:pt idx="35">
                  <c:v>36000</c:v>
                </c:pt>
                <c:pt idx="36">
                  <c:v>37000</c:v>
                </c:pt>
                <c:pt idx="37">
                  <c:v>31000</c:v>
                </c:pt>
                <c:pt idx="38">
                  <c:v>27000</c:v>
                </c:pt>
                <c:pt idx="39">
                  <c:v>22000</c:v>
                </c:pt>
                <c:pt idx="40">
                  <c:v>21000</c:v>
                </c:pt>
                <c:pt idx="41">
                  <c:v>22000</c:v>
                </c:pt>
                <c:pt idx="42">
                  <c:v>20000</c:v>
                </c:pt>
                <c:pt idx="43">
                  <c:v>22000</c:v>
                </c:pt>
                <c:pt idx="44">
                  <c:v>24000</c:v>
                </c:pt>
                <c:pt idx="45">
                  <c:v>29000</c:v>
                </c:pt>
                <c:pt idx="46">
                  <c:v>20000</c:v>
                </c:pt>
                <c:pt idx="47">
                  <c:v>20000</c:v>
                </c:pt>
                <c:pt idx="67">
                  <c:v>8894</c:v>
                </c:pt>
                <c:pt idx="68">
                  <c:v>8727</c:v>
                </c:pt>
                <c:pt idx="69">
                  <c:v>8228</c:v>
                </c:pt>
                <c:pt idx="70">
                  <c:v>8476</c:v>
                </c:pt>
                <c:pt idx="71">
                  <c:v>7264</c:v>
                </c:pt>
                <c:pt idx="72">
                  <c:v>7044</c:v>
                </c:pt>
                <c:pt idx="73">
                  <c:v>6406</c:v>
                </c:pt>
                <c:pt idx="74">
                  <c:v>5883</c:v>
                </c:pt>
                <c:pt idx="75">
                  <c:v>4643</c:v>
                </c:pt>
                <c:pt idx="76">
                  <c:v>4991</c:v>
                </c:pt>
                <c:pt idx="77">
                  <c:v>734</c:v>
                </c:pt>
              </c:numCache>
            </c:numRef>
          </c:val>
          <c:smooth val="0"/>
          <c:extLst>
            <c:ext xmlns:c16="http://schemas.microsoft.com/office/drawing/2014/chart" uri="{C3380CC4-5D6E-409C-BE32-E72D297353CC}">
              <c16:uniqueId val="{00000002-0276-4C00-8DA4-FE681900F116}"/>
            </c:ext>
          </c:extLst>
        </c:ser>
        <c:ser>
          <c:idx val="5"/>
          <c:order val="1"/>
          <c:tx>
            <c:v>WM Grits</c:v>
          </c:tx>
          <c:spPr>
            <a:ln>
              <a:solidFill>
                <a:srgbClr val="0000FF"/>
              </a:solidFill>
            </a:ln>
          </c:spPr>
          <c:marker>
            <c:symbol val="none"/>
          </c:marker>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Products'!$C$4:$C$82</c:f>
              <c:numCache>
                <c:formatCode>#,##0</c:formatCode>
                <c:ptCount val="79"/>
                <c:pt idx="0">
                  <c:v>8346.0928000000004</c:v>
                </c:pt>
                <c:pt idx="1">
                  <c:v>10069.742400000001</c:v>
                </c:pt>
                <c:pt idx="2">
                  <c:v>5987.4144000000006</c:v>
                </c:pt>
                <c:pt idx="3">
                  <c:v>6894.5984000000008</c:v>
                </c:pt>
                <c:pt idx="4">
                  <c:v>6894.5984000000008</c:v>
                </c:pt>
                <c:pt idx="5">
                  <c:v>18052.961600000002</c:v>
                </c:pt>
                <c:pt idx="6">
                  <c:v>21046.668799999999</c:v>
                </c:pt>
                <c:pt idx="7">
                  <c:v>24584.686399999999</c:v>
                </c:pt>
                <c:pt idx="8">
                  <c:v>26308.335999999999</c:v>
                </c:pt>
                <c:pt idx="9">
                  <c:v>31479.284800000001</c:v>
                </c:pt>
                <c:pt idx="10">
                  <c:v>22316.7264</c:v>
                </c:pt>
                <c:pt idx="11">
                  <c:v>21409.542399999998</c:v>
                </c:pt>
                <c:pt idx="12">
                  <c:v>25582.588800000001</c:v>
                </c:pt>
                <c:pt idx="13">
                  <c:v>38192.446400000001</c:v>
                </c:pt>
                <c:pt idx="14">
                  <c:v>49985.838400000001</c:v>
                </c:pt>
                <c:pt idx="15">
                  <c:v>53070.264000000003</c:v>
                </c:pt>
                <c:pt idx="16">
                  <c:v>57878.339200000002</c:v>
                </c:pt>
                <c:pt idx="17">
                  <c:v>63000</c:v>
                </c:pt>
                <c:pt idx="18">
                  <c:v>77000</c:v>
                </c:pt>
                <c:pt idx="19">
                  <c:v>82000</c:v>
                </c:pt>
                <c:pt idx="20">
                  <c:v>85000</c:v>
                </c:pt>
                <c:pt idx="21">
                  <c:v>83000</c:v>
                </c:pt>
                <c:pt idx="22">
                  <c:v>89000</c:v>
                </c:pt>
                <c:pt idx="23">
                  <c:v>102000</c:v>
                </c:pt>
                <c:pt idx="24">
                  <c:v>104000</c:v>
                </c:pt>
                <c:pt idx="25">
                  <c:v>111000</c:v>
                </c:pt>
                <c:pt idx="26">
                  <c:v>111000</c:v>
                </c:pt>
                <c:pt idx="27">
                  <c:v>117000</c:v>
                </c:pt>
                <c:pt idx="28">
                  <c:v>136000</c:v>
                </c:pt>
                <c:pt idx="29">
                  <c:v>146000</c:v>
                </c:pt>
                <c:pt idx="30">
                  <c:v>161000</c:v>
                </c:pt>
                <c:pt idx="31">
                  <c:v>159000</c:v>
                </c:pt>
                <c:pt idx="32">
                  <c:v>154000</c:v>
                </c:pt>
                <c:pt idx="33">
                  <c:v>148000</c:v>
                </c:pt>
                <c:pt idx="34">
                  <c:v>146000</c:v>
                </c:pt>
                <c:pt idx="35">
                  <c:v>144000</c:v>
                </c:pt>
                <c:pt idx="36">
                  <c:v>130000</c:v>
                </c:pt>
                <c:pt idx="37">
                  <c:v>134000</c:v>
                </c:pt>
                <c:pt idx="38">
                  <c:v>125000</c:v>
                </c:pt>
                <c:pt idx="39">
                  <c:v>143000</c:v>
                </c:pt>
                <c:pt idx="40">
                  <c:v>155000</c:v>
                </c:pt>
                <c:pt idx="41">
                  <c:v>164000</c:v>
                </c:pt>
                <c:pt idx="42">
                  <c:v>184000</c:v>
                </c:pt>
                <c:pt idx="43">
                  <c:v>185000</c:v>
                </c:pt>
                <c:pt idx="44">
                  <c:v>176000</c:v>
                </c:pt>
                <c:pt idx="45">
                  <c:v>141000</c:v>
                </c:pt>
                <c:pt idx="46">
                  <c:v>141000</c:v>
                </c:pt>
                <c:pt idx="47">
                  <c:v>101000</c:v>
                </c:pt>
                <c:pt idx="67">
                  <c:v>47392</c:v>
                </c:pt>
                <c:pt idx="68">
                  <c:v>60423</c:v>
                </c:pt>
                <c:pt idx="69">
                  <c:v>62964</c:v>
                </c:pt>
                <c:pt idx="70">
                  <c:v>68251</c:v>
                </c:pt>
                <c:pt idx="71">
                  <c:v>69446</c:v>
                </c:pt>
                <c:pt idx="72">
                  <c:v>78688</c:v>
                </c:pt>
                <c:pt idx="73">
                  <c:v>75557</c:v>
                </c:pt>
                <c:pt idx="74">
                  <c:v>77617</c:v>
                </c:pt>
                <c:pt idx="75">
                  <c:v>51178</c:v>
                </c:pt>
                <c:pt idx="76">
                  <c:v>51744</c:v>
                </c:pt>
                <c:pt idx="77">
                  <c:v>10226</c:v>
                </c:pt>
              </c:numCache>
            </c:numRef>
          </c:val>
          <c:smooth val="0"/>
          <c:extLst>
            <c:ext xmlns:c16="http://schemas.microsoft.com/office/drawing/2014/chart" uri="{C3380CC4-5D6E-409C-BE32-E72D297353CC}">
              <c16:uniqueId val="{00000004-0276-4C00-8DA4-FE681900F116}"/>
            </c:ext>
          </c:extLst>
        </c:ser>
        <c:ser>
          <c:idx val="7"/>
          <c:order val="2"/>
          <c:tx>
            <c:v>WM Samp</c:v>
          </c:tx>
          <c:spPr>
            <a:ln>
              <a:solidFill>
                <a:srgbClr val="FF0000"/>
              </a:solidFill>
            </a:ln>
          </c:spPr>
          <c:marker>
            <c:symbol val="none"/>
          </c:marker>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Products'!$D$4:$D$82</c:f>
              <c:numCache>
                <c:formatCode>#,##0</c:formatCode>
                <c:ptCount val="79"/>
                <c:pt idx="0">
                  <c:v>43272.676799999994</c:v>
                </c:pt>
                <c:pt idx="1">
                  <c:v>46538.539200000007</c:v>
                </c:pt>
                <c:pt idx="2">
                  <c:v>47990.033600000002</c:v>
                </c:pt>
                <c:pt idx="3">
                  <c:v>56880.436799999996</c:v>
                </c:pt>
                <c:pt idx="4">
                  <c:v>56880.436799999996</c:v>
                </c:pt>
                <c:pt idx="5">
                  <c:v>55973.252799999995</c:v>
                </c:pt>
                <c:pt idx="6">
                  <c:v>60781.328000000001</c:v>
                </c:pt>
                <c:pt idx="7">
                  <c:v>59964.862399999998</c:v>
                </c:pt>
                <c:pt idx="8">
                  <c:v>64591.500799999994</c:v>
                </c:pt>
                <c:pt idx="9">
                  <c:v>69671.731200000009</c:v>
                </c:pt>
                <c:pt idx="10">
                  <c:v>68310.955199999997</c:v>
                </c:pt>
                <c:pt idx="11">
                  <c:v>72937.593599999993</c:v>
                </c:pt>
                <c:pt idx="12">
                  <c:v>76657.047999999995</c:v>
                </c:pt>
                <c:pt idx="13">
                  <c:v>83460.928</c:v>
                </c:pt>
                <c:pt idx="14">
                  <c:v>90899.83679999999</c:v>
                </c:pt>
                <c:pt idx="15">
                  <c:v>100788.14240000001</c:v>
                </c:pt>
                <c:pt idx="16">
                  <c:v>108680.64320000001</c:v>
                </c:pt>
                <c:pt idx="17">
                  <c:v>106000</c:v>
                </c:pt>
                <c:pt idx="18">
                  <c:v>111000</c:v>
                </c:pt>
                <c:pt idx="19">
                  <c:v>128000</c:v>
                </c:pt>
                <c:pt idx="20">
                  <c:v>130000</c:v>
                </c:pt>
                <c:pt idx="21">
                  <c:v>128000</c:v>
                </c:pt>
                <c:pt idx="22">
                  <c:v>119000</c:v>
                </c:pt>
                <c:pt idx="23">
                  <c:v>139000</c:v>
                </c:pt>
                <c:pt idx="24">
                  <c:v>153000</c:v>
                </c:pt>
                <c:pt idx="25">
                  <c:v>159000</c:v>
                </c:pt>
                <c:pt idx="26">
                  <c:v>160000</c:v>
                </c:pt>
                <c:pt idx="27">
                  <c:v>162000</c:v>
                </c:pt>
                <c:pt idx="28">
                  <c:v>171000</c:v>
                </c:pt>
                <c:pt idx="29">
                  <c:v>172000</c:v>
                </c:pt>
                <c:pt idx="30">
                  <c:v>168000</c:v>
                </c:pt>
                <c:pt idx="31">
                  <c:v>174000</c:v>
                </c:pt>
                <c:pt idx="32">
                  <c:v>160000</c:v>
                </c:pt>
                <c:pt idx="33">
                  <c:v>165000</c:v>
                </c:pt>
                <c:pt idx="34">
                  <c:v>165000</c:v>
                </c:pt>
                <c:pt idx="35">
                  <c:v>152000</c:v>
                </c:pt>
                <c:pt idx="36">
                  <c:v>151000</c:v>
                </c:pt>
                <c:pt idx="37">
                  <c:v>122000</c:v>
                </c:pt>
                <c:pt idx="38">
                  <c:v>128000</c:v>
                </c:pt>
                <c:pt idx="39">
                  <c:v>117000</c:v>
                </c:pt>
                <c:pt idx="40">
                  <c:v>116000</c:v>
                </c:pt>
                <c:pt idx="41">
                  <c:v>120000</c:v>
                </c:pt>
                <c:pt idx="42">
                  <c:v>122000</c:v>
                </c:pt>
                <c:pt idx="43">
                  <c:v>128000</c:v>
                </c:pt>
                <c:pt idx="44">
                  <c:v>127000</c:v>
                </c:pt>
                <c:pt idx="45">
                  <c:v>105000</c:v>
                </c:pt>
                <c:pt idx="46">
                  <c:v>115000</c:v>
                </c:pt>
                <c:pt idx="47">
                  <c:v>105000</c:v>
                </c:pt>
                <c:pt idx="67">
                  <c:v>107965</c:v>
                </c:pt>
                <c:pt idx="68">
                  <c:v>112676</c:v>
                </c:pt>
                <c:pt idx="69">
                  <c:v>118545</c:v>
                </c:pt>
                <c:pt idx="70">
                  <c:v>117573</c:v>
                </c:pt>
                <c:pt idx="71">
                  <c:v>110572</c:v>
                </c:pt>
                <c:pt idx="72">
                  <c:v>107682</c:v>
                </c:pt>
                <c:pt idx="73">
                  <c:v>102705</c:v>
                </c:pt>
                <c:pt idx="74">
                  <c:v>111556</c:v>
                </c:pt>
                <c:pt idx="75">
                  <c:v>96657</c:v>
                </c:pt>
                <c:pt idx="76">
                  <c:v>113843</c:v>
                </c:pt>
                <c:pt idx="77">
                  <c:v>24106</c:v>
                </c:pt>
              </c:numCache>
            </c:numRef>
          </c:val>
          <c:smooth val="0"/>
          <c:extLst>
            <c:ext xmlns:c16="http://schemas.microsoft.com/office/drawing/2014/chart" uri="{C3380CC4-5D6E-409C-BE32-E72D297353CC}">
              <c16:uniqueId val="{00000006-0276-4C00-8DA4-FE681900F116}"/>
            </c:ext>
          </c:extLst>
        </c:ser>
        <c:dLbls>
          <c:showLegendKey val="0"/>
          <c:showVal val="0"/>
          <c:showCatName val="0"/>
          <c:showSerName val="0"/>
          <c:showPercent val="0"/>
          <c:showBubbleSize val="0"/>
        </c:dLbls>
        <c:smooth val="0"/>
        <c:axId val="84092416"/>
        <c:axId val="84093952"/>
      </c:lineChart>
      <c:catAx>
        <c:axId val="84092416"/>
        <c:scaling>
          <c:orientation val="minMax"/>
        </c:scaling>
        <c:delete val="0"/>
        <c:axPos val="b"/>
        <c:numFmt formatCode="General" sourceLinked="0"/>
        <c:majorTickMark val="out"/>
        <c:minorTickMark val="none"/>
        <c:tickLblPos val="nextTo"/>
        <c:txPr>
          <a:bodyPr rot="-5400000" vert="horz"/>
          <a:lstStyle/>
          <a:p>
            <a:pPr>
              <a:defRPr sz="1050">
                <a:latin typeface="Arial Narrow" panose="020B0606020202030204" pitchFamily="34" charset="0"/>
              </a:defRPr>
            </a:pPr>
            <a:endParaRPr lang="en-US"/>
          </a:p>
        </c:txPr>
        <c:crossAx val="84093952"/>
        <c:crosses val="autoZero"/>
        <c:auto val="1"/>
        <c:lblAlgn val="ctr"/>
        <c:lblOffset val="100"/>
        <c:noMultiLvlLbl val="0"/>
      </c:catAx>
      <c:valAx>
        <c:axId val="84093952"/>
        <c:scaling>
          <c:orientation val="minMax"/>
        </c:scaling>
        <c:delete val="0"/>
        <c:axPos val="l"/>
        <c:majorGridlines/>
        <c:numFmt formatCode="#,##0" sourceLinked="1"/>
        <c:majorTickMark val="out"/>
        <c:minorTickMark val="none"/>
        <c:tickLblPos val="nextTo"/>
        <c:txPr>
          <a:bodyPr/>
          <a:lstStyle/>
          <a:p>
            <a:pPr>
              <a:defRPr sz="1050" b="1">
                <a:latin typeface="Arial Narrow" panose="020B0606020202030204" pitchFamily="34" charset="0"/>
              </a:defRPr>
            </a:pPr>
            <a:endParaRPr lang="en-US"/>
          </a:p>
        </c:txPr>
        <c:crossAx val="84092416"/>
        <c:crosses val="autoZero"/>
        <c:crossBetween val="between"/>
      </c:valAx>
    </c:plotArea>
    <c:legend>
      <c:legendPos val="r"/>
      <c:layout>
        <c:manualLayout>
          <c:xMode val="edge"/>
          <c:yMode val="edge"/>
          <c:x val="0.18568491052692118"/>
          <c:y val="4.8673228346456703E-2"/>
          <c:w val="0.62145156752905073"/>
          <c:h val="5.8851541994750643E-2"/>
        </c:manualLayout>
      </c:layout>
      <c:overlay val="0"/>
      <c:txPr>
        <a:bodyPr/>
        <a:lstStyle/>
        <a:p>
          <a:pPr>
            <a:defRPr sz="1400">
              <a:latin typeface="Arial Narrow" panose="020B0606020202030204" pitchFamily="34" charset="0"/>
            </a:defRPr>
          </a:pPr>
          <a:endParaRPr lang="en-US"/>
        </a:p>
      </c:txPr>
    </c:legend>
    <c:plotVisOnly val="1"/>
    <c:dispBlanksAs val="gap"/>
    <c:showDLblsOverMax val="0"/>
  </c:chart>
  <c:spPr>
    <a:solidFill>
      <a:schemeClr val="bg1">
        <a:lumMod val="95000"/>
      </a:schemeClr>
    </a:solidFill>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solidFill>
                  <a:schemeClr val="tx1"/>
                </a:solidFill>
                <a:latin typeface="Arial Narrow" panose="020B0606020202030204" pitchFamily="34" charset="0"/>
              </a:rPr>
              <a:t>Whole Maize: Per</a:t>
            </a:r>
            <a:r>
              <a:rPr lang="en-US" sz="2000" b="1" baseline="0">
                <a:solidFill>
                  <a:schemeClr val="tx1"/>
                </a:solidFill>
                <a:latin typeface="Arial Narrow" panose="020B0606020202030204" pitchFamily="34" charset="0"/>
              </a:rPr>
              <a:t> capita consumption</a:t>
            </a:r>
            <a:endParaRPr lang="en-US" sz="2000" b="1">
              <a:solidFill>
                <a:schemeClr val="tx1"/>
              </a:solidFill>
              <a:latin typeface="Arial Narrow" panose="020B0606020202030204" pitchFamily="34" charset="0"/>
            </a:endParaRPr>
          </a:p>
        </c:rich>
      </c:tx>
      <c:layout>
        <c:manualLayout>
          <c:xMode val="edge"/>
          <c:yMode val="edge"/>
          <c:x val="0.30574021810261154"/>
          <c:y val="4.1710217475615244E-3"/>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4.4880981821116835E-2"/>
          <c:y val="0.12490225385130499"/>
          <c:w val="0.94427479693617777"/>
          <c:h val="0.75100340670575527"/>
        </c:manualLayout>
      </c:layout>
      <c:lineChart>
        <c:grouping val="standard"/>
        <c:varyColors val="0"/>
        <c:ser>
          <c:idx val="3"/>
          <c:order val="0"/>
          <c:tx>
            <c:v>Maize / Capita</c:v>
          </c:tx>
          <c:spPr>
            <a:ln w="31750" cap="rnd">
              <a:solidFill>
                <a:srgbClr val="0000FF"/>
              </a:solidFill>
              <a:round/>
            </a:ln>
            <a:effectLst/>
          </c:spPr>
          <c:marker>
            <c:symbol val="none"/>
          </c:marker>
          <c:dLbls>
            <c:dLbl>
              <c:idx val="0"/>
              <c:layout>
                <c:manualLayout>
                  <c:x val="-1.3670758932055112E-2"/>
                  <c:y val="-3.55282003181080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1E-4E26-AE8C-855CB94AD838}"/>
                </c:ext>
              </c:extLst>
            </c:dLbl>
            <c:dLbl>
              <c:idx val="8"/>
              <c:layout>
                <c:manualLayout>
                  <c:x val="-2.3248642551932406E-2"/>
                  <c:y val="-3.1336733799099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1E-4E26-AE8C-855CB94AD838}"/>
                </c:ext>
              </c:extLst>
            </c:dLbl>
            <c:dLbl>
              <c:idx val="17"/>
              <c:layout>
                <c:manualLayout>
                  <c:x val="-2.4628819662201675E-2"/>
                  <c:y val="3.76000014474190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1E-4E26-AE8C-855CB94AD838}"/>
                </c:ext>
              </c:extLst>
            </c:dLbl>
            <c:dLbl>
              <c:idx val="28"/>
              <c:layout>
                <c:manualLayout>
                  <c:x val="-9.5726095734276397E-3"/>
                  <c:y val="-3.76410935482779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1E-4E26-AE8C-855CB94AD838}"/>
                </c:ext>
              </c:extLst>
            </c:dLbl>
            <c:dLbl>
              <c:idx val="38"/>
              <c:layout>
                <c:manualLayout>
                  <c:x val="9.5884317127767228E-3"/>
                  <c:y val="-6.25641035746271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1E-4E26-AE8C-855CB94AD838}"/>
                </c:ext>
              </c:extLst>
            </c:dLbl>
            <c:dLbl>
              <c:idx val="49"/>
              <c:layout>
                <c:manualLayout>
                  <c:x val="-1.5052236201076357E-2"/>
                  <c:y val="-5.43043282208115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1E-4E26-AE8C-855CB94AD838}"/>
                </c:ext>
              </c:extLst>
            </c:dLbl>
            <c:dLbl>
              <c:idx val="67"/>
              <c:layout>
                <c:manualLayout>
                  <c:x val="-3.8250646746038994E-2"/>
                  <c:y val="-4.3847429410215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1E-4E26-AE8C-855CB94AD838}"/>
                </c:ext>
              </c:extLst>
            </c:dLbl>
            <c:dLbl>
              <c:idx val="74"/>
              <c:layout>
                <c:manualLayout>
                  <c:x val="-8.2178218889560738E-3"/>
                  <c:y val="-1.88066451462484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95-448A-83D5-EBF7FA86E8A7}"/>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00FF"/>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Products'!$X$4:$X$82</c:f>
              <c:numCache>
                <c:formatCode>0</c:formatCode>
                <c:ptCount val="79"/>
                <c:pt idx="0">
                  <c:v>92.565419810563498</c:v>
                </c:pt>
                <c:pt idx="1">
                  <c:v>91.28735451399811</c:v>
                </c:pt>
                <c:pt idx="2">
                  <c:v>93.598159509202461</c:v>
                </c:pt>
                <c:pt idx="3">
                  <c:v>85.600328947368425</c:v>
                </c:pt>
                <c:pt idx="4">
                  <c:v>81.757672960559887</c:v>
                </c:pt>
                <c:pt idx="5">
                  <c:v>90.059003341153058</c:v>
                </c:pt>
                <c:pt idx="6">
                  <c:v>89.610290548505645</c:v>
                </c:pt>
                <c:pt idx="7">
                  <c:v>85.594481266062488</c:v>
                </c:pt>
                <c:pt idx="8">
                  <c:v>93.327176781002635</c:v>
                </c:pt>
                <c:pt idx="9">
                  <c:v>92.356233114627557</c:v>
                </c:pt>
                <c:pt idx="10">
                  <c:v>88.455264148575736</c:v>
                </c:pt>
                <c:pt idx="11">
                  <c:v>88.259188807756033</c:v>
                </c:pt>
                <c:pt idx="12">
                  <c:v>84.752760441670674</c:v>
                </c:pt>
                <c:pt idx="13">
                  <c:v>89.985929530398082</c:v>
                </c:pt>
                <c:pt idx="14">
                  <c:v>95.505894471786661</c:v>
                </c:pt>
                <c:pt idx="15">
                  <c:v>96.637376168355061</c:v>
                </c:pt>
                <c:pt idx="16">
                  <c:v>95.447589900535576</c:v>
                </c:pt>
                <c:pt idx="17">
                  <c:v>92.147547109379175</c:v>
                </c:pt>
                <c:pt idx="18">
                  <c:v>93.092294047060051</c:v>
                </c:pt>
                <c:pt idx="19">
                  <c:v>96.161688245488833</c:v>
                </c:pt>
                <c:pt idx="20">
                  <c:v>98.23538597678413</c:v>
                </c:pt>
                <c:pt idx="21">
                  <c:v>94.735234215885953</c:v>
                </c:pt>
                <c:pt idx="22">
                  <c:v>94.890438247011957</c:v>
                </c:pt>
                <c:pt idx="23">
                  <c:v>94.09959072305594</c:v>
                </c:pt>
                <c:pt idx="24">
                  <c:v>85.848427073403244</c:v>
                </c:pt>
                <c:pt idx="25">
                  <c:v>93.933883526833583</c:v>
                </c:pt>
                <c:pt idx="26">
                  <c:v>92.509465809041558</c:v>
                </c:pt>
                <c:pt idx="27">
                  <c:v>93.333333333333329</c:v>
                </c:pt>
                <c:pt idx="28">
                  <c:v>86.907932073165412</c:v>
                </c:pt>
                <c:pt idx="29">
                  <c:v>85.132713151830671</c:v>
                </c:pt>
                <c:pt idx="30">
                  <c:v>86.734183545886467</c:v>
                </c:pt>
                <c:pt idx="31">
                  <c:v>82.892115001423278</c:v>
                </c:pt>
                <c:pt idx="32">
                  <c:v>87.059290105096167</c:v>
                </c:pt>
                <c:pt idx="33">
                  <c:v>91.775794800479005</c:v>
                </c:pt>
                <c:pt idx="34">
                  <c:v>85.668574009938268</c:v>
                </c:pt>
                <c:pt idx="35">
                  <c:v>76.010425461620358</c:v>
                </c:pt>
                <c:pt idx="36">
                  <c:v>64.944834503510535</c:v>
                </c:pt>
                <c:pt idx="37">
                  <c:v>60.163710777626193</c:v>
                </c:pt>
                <c:pt idx="38">
                  <c:v>58.53875346165681</c:v>
                </c:pt>
                <c:pt idx="39">
                  <c:v>55.610538986224419</c:v>
                </c:pt>
                <c:pt idx="40">
                  <c:v>53.870809484873263</c:v>
                </c:pt>
                <c:pt idx="41">
                  <c:v>49.001353628553275</c:v>
                </c:pt>
                <c:pt idx="42">
                  <c:v>48.575367647058826</c:v>
                </c:pt>
                <c:pt idx="43">
                  <c:v>50.793608803766993</c:v>
                </c:pt>
                <c:pt idx="44">
                  <c:v>52.874634361005413</c:v>
                </c:pt>
                <c:pt idx="45">
                  <c:v>45.038883400461025</c:v>
                </c:pt>
                <c:pt idx="46">
                  <c:v>48.41563177606939</c:v>
                </c:pt>
                <c:pt idx="47">
                  <c:v>49.443325975695537</c:v>
                </c:pt>
                <c:pt idx="48">
                  <c:v>56.656618641855168</c:v>
                </c:pt>
                <c:pt idx="49">
                  <c:v>54.970502160078041</c:v>
                </c:pt>
                <c:pt idx="50">
                  <c:v>54.896305452547729</c:v>
                </c:pt>
                <c:pt idx="51">
                  <c:v>56.378896344336979</c:v>
                </c:pt>
                <c:pt idx="52">
                  <c:v>59.706516478197742</c:v>
                </c:pt>
                <c:pt idx="53">
                  <c:v>55.904714725710221</c:v>
                </c:pt>
                <c:pt idx="54">
                  <c:v>55.776413514789851</c:v>
                </c:pt>
                <c:pt idx="55">
                  <c:v>55.83518170960587</c:v>
                </c:pt>
                <c:pt idx="56">
                  <c:v>56.498069253655757</c:v>
                </c:pt>
                <c:pt idx="57">
                  <c:v>55.823284779837415</c:v>
                </c:pt>
                <c:pt idx="58">
                  <c:v>54.764105408014458</c:v>
                </c:pt>
                <c:pt idx="59">
                  <c:v>64.207943877861354</c:v>
                </c:pt>
                <c:pt idx="60">
                  <c:v>62.605268948410711</c:v>
                </c:pt>
                <c:pt idx="61">
                  <c:v>62.448850495186512</c:v>
                </c:pt>
                <c:pt idx="62">
                  <c:v>61.007127542446547</c:v>
                </c:pt>
                <c:pt idx="63">
                  <c:v>59.440942206787213</c:v>
                </c:pt>
                <c:pt idx="64">
                  <c:v>59.398114884633905</c:v>
                </c:pt>
                <c:pt idx="65">
                  <c:v>61.648465163673414</c:v>
                </c:pt>
                <c:pt idx="66">
                  <c:v>58.826618254663828</c:v>
                </c:pt>
                <c:pt idx="67">
                  <c:v>58.729804323980041</c:v>
                </c:pt>
                <c:pt idx="68">
                  <c:v>58.746665280809339</c:v>
                </c:pt>
                <c:pt idx="69">
                  <c:v>59.437413866439812</c:v>
                </c:pt>
                <c:pt idx="70">
                  <c:v>59.772533628526382</c:v>
                </c:pt>
                <c:pt idx="71">
                  <c:v>61.320137006800458</c:v>
                </c:pt>
                <c:pt idx="72">
                  <c:v>53.881988779260979</c:v>
                </c:pt>
                <c:pt idx="73">
                  <c:v>55.961678596762752</c:v>
                </c:pt>
                <c:pt idx="74">
                  <c:v>60.810667132156915</c:v>
                </c:pt>
                <c:pt idx="75">
                  <c:v>56.659467436841439</c:v>
                </c:pt>
                <c:pt idx="76">
                  <c:v>57.503787638668783</c:v>
                </c:pt>
                <c:pt idx="77">
                  <c:v>13.449793977812995</c:v>
                </c:pt>
              </c:numCache>
            </c:numRef>
          </c:val>
          <c:smooth val="0"/>
          <c:extLst>
            <c:ext xmlns:c16="http://schemas.microsoft.com/office/drawing/2014/chart" uri="{C3380CC4-5D6E-409C-BE32-E72D297353CC}">
              <c16:uniqueId val="{00000008-601E-4E26-AE8C-855CB94AD838}"/>
            </c:ext>
          </c:extLst>
        </c:ser>
        <c:dLbls>
          <c:showLegendKey val="0"/>
          <c:showVal val="0"/>
          <c:showCatName val="0"/>
          <c:showSerName val="0"/>
          <c:showPercent val="0"/>
          <c:showBubbleSize val="0"/>
        </c:dLbls>
        <c:smooth val="0"/>
        <c:axId val="362139424"/>
        <c:axId val="362141064"/>
      </c:lineChart>
      <c:catAx>
        <c:axId val="36213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crossAx val="362141064"/>
        <c:crosses val="autoZero"/>
        <c:auto val="1"/>
        <c:lblAlgn val="ctr"/>
        <c:lblOffset val="100"/>
        <c:noMultiLvlLbl val="0"/>
      </c:catAx>
      <c:valAx>
        <c:axId val="362141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crossAx val="362139424"/>
        <c:crosses val="autoZero"/>
        <c:crossBetween val="between"/>
      </c:valAx>
      <c:spPr>
        <a:solidFill>
          <a:schemeClr val="bg1"/>
        </a:solidFill>
        <a:ln w="25400">
          <a:noFill/>
        </a:ln>
        <a:effectLst/>
      </c:spPr>
    </c:plotArea>
    <c:legend>
      <c:legendPos val="b"/>
      <c:layout>
        <c:manualLayout>
          <c:xMode val="edge"/>
          <c:yMode val="edge"/>
          <c:x val="7.5345135214173103E-2"/>
          <c:y val="5.440334699890996E-2"/>
          <c:w val="0.84856242947981009"/>
          <c:h val="7.1672517477717496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579616428009389E-2"/>
          <c:y val="0.1227836438402465"/>
          <c:w val="0.94090537613933478"/>
          <c:h val="0.74691294785880291"/>
        </c:manualLayout>
      </c:layout>
      <c:lineChart>
        <c:grouping val="standard"/>
        <c:varyColors val="0"/>
        <c:ser>
          <c:idx val="0"/>
          <c:order val="0"/>
          <c:tx>
            <c:v>Maize Whole Grain</c:v>
          </c:tx>
          <c:spPr>
            <a:ln w="38100" cap="flat" cmpd="sng" algn="ctr">
              <a:solidFill>
                <a:schemeClr val="tx1">
                  <a:lumMod val="50000"/>
                  <a:lumOff val="50000"/>
                </a:schemeClr>
              </a:solidFill>
              <a:miter lim="800000"/>
            </a:ln>
            <a:effectLst/>
          </c:spPr>
          <c:marker>
            <c:symbol val="none"/>
          </c:marker>
          <c:dLbls>
            <c:dLbl>
              <c:idx val="0"/>
              <c:layout>
                <c:manualLayout>
                  <c:x val="-8.2073437847358117E-3"/>
                  <c:y val="-3.12500000000000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976-4E00-AB3F-EBD7F0537A8E}"/>
                </c:ext>
              </c:extLst>
            </c:dLbl>
            <c:dLbl>
              <c:idx val="12"/>
              <c:layout>
                <c:manualLayout>
                  <c:x val="1.7663216334650352E-3"/>
                  <c:y val="-2.30902793560175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976-4E00-AB3F-EBD7F0537A8E}"/>
                </c:ext>
              </c:extLst>
            </c:dLbl>
            <c:dLbl>
              <c:idx val="29"/>
              <c:layout>
                <c:manualLayout>
                  <c:x val="-1.4684287812041655E-3"/>
                  <c:y val="-2.84119736174530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19-493B-BA7C-456C9B9A35DE}"/>
                </c:ext>
              </c:extLst>
            </c:dLbl>
            <c:dLbl>
              <c:idx val="56"/>
              <c:layout>
                <c:manualLayout>
                  <c:x val="-5.8718222807453389E-3"/>
                  <c:y val="-2.83877362424855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19-493B-BA7C-456C9B9A35DE}"/>
                </c:ext>
              </c:extLst>
            </c:dLbl>
            <c:dLbl>
              <c:idx val="74"/>
              <c:layout>
                <c:manualLayout>
                  <c:x val="-1.0279001468428889E-2"/>
                  <c:y val="-1.62354134956874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19-45B2-BB56-F1AA74E787A3}"/>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Products'!$X$4:$X$82</c:f>
              <c:numCache>
                <c:formatCode>0</c:formatCode>
                <c:ptCount val="79"/>
                <c:pt idx="0">
                  <c:v>92.565419810563498</c:v>
                </c:pt>
                <c:pt idx="1">
                  <c:v>91.28735451399811</c:v>
                </c:pt>
                <c:pt idx="2">
                  <c:v>93.598159509202461</c:v>
                </c:pt>
                <c:pt idx="3">
                  <c:v>85.600328947368425</c:v>
                </c:pt>
                <c:pt idx="4">
                  <c:v>81.757672960559887</c:v>
                </c:pt>
                <c:pt idx="5">
                  <c:v>90.059003341153058</c:v>
                </c:pt>
                <c:pt idx="6">
                  <c:v>89.610290548505645</c:v>
                </c:pt>
                <c:pt idx="7">
                  <c:v>85.594481266062488</c:v>
                </c:pt>
                <c:pt idx="8">
                  <c:v>93.327176781002635</c:v>
                </c:pt>
                <c:pt idx="9">
                  <c:v>92.356233114627557</c:v>
                </c:pt>
                <c:pt idx="10">
                  <c:v>88.455264148575736</c:v>
                </c:pt>
                <c:pt idx="11">
                  <c:v>88.259188807756033</c:v>
                </c:pt>
                <c:pt idx="12">
                  <c:v>84.752760441670674</c:v>
                </c:pt>
                <c:pt idx="13">
                  <c:v>89.985929530398082</c:v>
                </c:pt>
                <c:pt idx="14">
                  <c:v>95.505894471786661</c:v>
                </c:pt>
                <c:pt idx="15">
                  <c:v>96.637376168355061</c:v>
                </c:pt>
                <c:pt idx="16">
                  <c:v>95.447589900535576</c:v>
                </c:pt>
                <c:pt idx="17">
                  <c:v>92.147547109379175</c:v>
                </c:pt>
                <c:pt idx="18">
                  <c:v>93.092294047060051</c:v>
                </c:pt>
                <c:pt idx="19">
                  <c:v>96.161688245488833</c:v>
                </c:pt>
                <c:pt idx="20">
                  <c:v>98.23538597678413</c:v>
                </c:pt>
                <c:pt idx="21">
                  <c:v>94.735234215885953</c:v>
                </c:pt>
                <c:pt idx="22">
                  <c:v>94.890438247011957</c:v>
                </c:pt>
                <c:pt idx="23">
                  <c:v>94.09959072305594</c:v>
                </c:pt>
                <c:pt idx="24">
                  <c:v>85.848427073403244</c:v>
                </c:pt>
                <c:pt idx="25">
                  <c:v>93.933883526833583</c:v>
                </c:pt>
                <c:pt idx="26">
                  <c:v>92.509465809041558</c:v>
                </c:pt>
                <c:pt idx="27">
                  <c:v>93.333333333333329</c:v>
                </c:pt>
                <c:pt idx="28">
                  <c:v>86.907932073165412</c:v>
                </c:pt>
                <c:pt idx="29">
                  <c:v>85.132713151830671</c:v>
                </c:pt>
                <c:pt idx="30">
                  <c:v>86.734183545886467</c:v>
                </c:pt>
                <c:pt idx="31">
                  <c:v>82.892115001423278</c:v>
                </c:pt>
                <c:pt idx="32">
                  <c:v>87.059290105096167</c:v>
                </c:pt>
                <c:pt idx="33">
                  <c:v>91.775794800479005</c:v>
                </c:pt>
                <c:pt idx="34">
                  <c:v>85.668574009938268</c:v>
                </c:pt>
                <c:pt idx="35">
                  <c:v>76.010425461620358</c:v>
                </c:pt>
                <c:pt idx="36">
                  <c:v>64.944834503510535</c:v>
                </c:pt>
                <c:pt idx="37">
                  <c:v>60.163710777626193</c:v>
                </c:pt>
                <c:pt idx="38">
                  <c:v>58.53875346165681</c:v>
                </c:pt>
                <c:pt idx="39">
                  <c:v>55.610538986224419</c:v>
                </c:pt>
                <c:pt idx="40">
                  <c:v>53.870809484873263</c:v>
                </c:pt>
                <c:pt idx="41">
                  <c:v>49.001353628553275</c:v>
                </c:pt>
                <c:pt idx="42">
                  <c:v>48.575367647058826</c:v>
                </c:pt>
                <c:pt idx="43">
                  <c:v>50.793608803766993</c:v>
                </c:pt>
                <c:pt idx="44">
                  <c:v>52.874634361005413</c:v>
                </c:pt>
                <c:pt idx="45">
                  <c:v>45.038883400461025</c:v>
                </c:pt>
                <c:pt idx="46">
                  <c:v>48.41563177606939</c:v>
                </c:pt>
                <c:pt idx="47">
                  <c:v>49.443325975695537</c:v>
                </c:pt>
                <c:pt idx="48">
                  <c:v>56.656618641855168</c:v>
                </c:pt>
                <c:pt idx="49">
                  <c:v>54.970502160078041</c:v>
                </c:pt>
                <c:pt idx="50">
                  <c:v>54.896305452547729</c:v>
                </c:pt>
                <c:pt idx="51">
                  <c:v>56.378896344336979</c:v>
                </c:pt>
                <c:pt idx="52">
                  <c:v>59.706516478197742</c:v>
                </c:pt>
                <c:pt idx="53">
                  <c:v>55.904714725710221</c:v>
                </c:pt>
                <c:pt idx="54">
                  <c:v>55.776413514789851</c:v>
                </c:pt>
                <c:pt idx="55">
                  <c:v>55.83518170960587</c:v>
                </c:pt>
                <c:pt idx="56">
                  <c:v>56.498069253655757</c:v>
                </c:pt>
                <c:pt idx="57">
                  <c:v>55.823284779837415</c:v>
                </c:pt>
                <c:pt idx="58">
                  <c:v>54.764105408014458</c:v>
                </c:pt>
                <c:pt idx="59">
                  <c:v>64.207943877861354</c:v>
                </c:pt>
                <c:pt idx="60">
                  <c:v>62.605268948410711</c:v>
                </c:pt>
                <c:pt idx="61">
                  <c:v>62.448850495186512</c:v>
                </c:pt>
                <c:pt idx="62">
                  <c:v>61.007127542446547</c:v>
                </c:pt>
                <c:pt idx="63">
                  <c:v>59.440942206787213</c:v>
                </c:pt>
                <c:pt idx="64">
                  <c:v>59.398114884633905</c:v>
                </c:pt>
                <c:pt idx="65">
                  <c:v>61.648465163673414</c:v>
                </c:pt>
                <c:pt idx="66">
                  <c:v>58.826618254663828</c:v>
                </c:pt>
                <c:pt idx="67">
                  <c:v>58.729804323980041</c:v>
                </c:pt>
                <c:pt idx="68">
                  <c:v>58.746665280809339</c:v>
                </c:pt>
                <c:pt idx="69">
                  <c:v>59.437413866439812</c:v>
                </c:pt>
                <c:pt idx="70">
                  <c:v>59.772533628526382</c:v>
                </c:pt>
                <c:pt idx="71">
                  <c:v>61.320137006800458</c:v>
                </c:pt>
                <c:pt idx="72">
                  <c:v>53.881988779260979</c:v>
                </c:pt>
                <c:pt idx="73">
                  <c:v>55.961678596762752</c:v>
                </c:pt>
                <c:pt idx="74">
                  <c:v>60.810667132156915</c:v>
                </c:pt>
                <c:pt idx="75">
                  <c:v>56.659467436841439</c:v>
                </c:pt>
                <c:pt idx="76">
                  <c:v>57.503787638668783</c:v>
                </c:pt>
                <c:pt idx="77">
                  <c:v>13.449793977812995</c:v>
                </c:pt>
              </c:numCache>
            </c:numRef>
          </c:val>
          <c:smooth val="0"/>
          <c:extLst>
            <c:ext xmlns:c16="http://schemas.microsoft.com/office/drawing/2014/chart" uri="{C3380CC4-5D6E-409C-BE32-E72D297353CC}">
              <c16:uniqueId val="{00000000-C97D-4ED9-9A93-C1DE0FDBDCF3}"/>
            </c:ext>
          </c:extLst>
        </c:ser>
        <c:ser>
          <c:idx val="1"/>
          <c:order val="1"/>
          <c:tx>
            <c:v>Wheat Whole Grain</c:v>
          </c:tx>
          <c:spPr>
            <a:ln w="38100" cap="flat" cmpd="sng" algn="ctr">
              <a:solidFill>
                <a:schemeClr val="accent2"/>
              </a:solidFill>
              <a:miter lim="800000"/>
            </a:ln>
            <a:effectLst/>
          </c:spPr>
          <c:marker>
            <c:symbol val="none"/>
          </c:marker>
          <c:dLbls>
            <c:dLbl>
              <c:idx val="0"/>
              <c:layout>
                <c:manualLayout>
                  <c:x val="-1.2311015677103715E-2"/>
                  <c:y val="2.70833333333332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976-4E00-AB3F-EBD7F0537A8E}"/>
                </c:ext>
              </c:extLst>
            </c:dLbl>
            <c:dLbl>
              <c:idx val="12"/>
              <c:layout>
                <c:manualLayout>
                  <c:x val="-2.0321590921700407E-2"/>
                  <c:y val="-4.56993058575811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976-4E00-AB3F-EBD7F0537A8E}"/>
                </c:ext>
              </c:extLst>
            </c:dLbl>
            <c:dLbl>
              <c:idx val="13"/>
              <c:layout>
                <c:manualLayout>
                  <c:x val="-2.3487289122980926E-2"/>
                  <c:y val="3.04154316883773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9-493B-BA7C-456C9B9A35DE}"/>
                </c:ext>
              </c:extLst>
            </c:dLbl>
            <c:dLbl>
              <c:idx val="34"/>
              <c:layout>
                <c:manualLayout>
                  <c:x val="-1.7615466842235694E-2"/>
                  <c:y val="-3.04154316883773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19-493B-BA7C-456C9B9A35DE}"/>
                </c:ext>
              </c:extLst>
            </c:dLbl>
            <c:dLbl>
              <c:idx val="58"/>
              <c:layout>
                <c:manualLayout>
                  <c:x val="0"/>
                  <c:y val="3.0441400304414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19-493B-BA7C-456C9B9A35DE}"/>
                </c:ext>
              </c:extLst>
            </c:dLbl>
            <c:dLbl>
              <c:idx val="74"/>
              <c:layout>
                <c:manualLayout>
                  <c:x val="-4.1103429974493982E-2"/>
                  <c:y val="4.8686296670513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19-45B2-BB56-F1AA74E787A3}"/>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'White M Products'!$A$4:$A$82</c:f>
              <c:strCache>
                <c:ptCount val="78"/>
                <c:pt idx="0">
                  <c:v>1949/50</c:v>
                </c:pt>
                <c:pt idx="1">
                  <c:v>1950/51</c:v>
                </c:pt>
                <c:pt idx="2">
                  <c:v>1951/52</c:v>
                </c:pt>
                <c:pt idx="3">
                  <c:v>1952/53</c:v>
                </c:pt>
                <c:pt idx="4">
                  <c:v>1953/54</c:v>
                </c:pt>
                <c:pt idx="5">
                  <c:v>1954/55</c:v>
                </c:pt>
                <c:pt idx="6">
                  <c:v>1955/56</c:v>
                </c:pt>
                <c:pt idx="7">
                  <c:v>1956/57</c:v>
                </c:pt>
                <c:pt idx="8">
                  <c:v>1957/58</c:v>
                </c:pt>
                <c:pt idx="9">
                  <c:v>1958/59</c:v>
                </c:pt>
                <c:pt idx="10">
                  <c:v>1959/60</c:v>
                </c:pt>
                <c:pt idx="11">
                  <c:v>1960/61</c:v>
                </c:pt>
                <c:pt idx="12">
                  <c:v>1961/62</c:v>
                </c:pt>
                <c:pt idx="13">
                  <c:v>1962/63</c:v>
                </c:pt>
                <c:pt idx="14">
                  <c:v>1963/64</c:v>
                </c:pt>
                <c:pt idx="15">
                  <c:v>1964/65</c:v>
                </c:pt>
                <c:pt idx="16">
                  <c:v>1965/66</c:v>
                </c:pt>
                <c:pt idx="17">
                  <c:v>1966/67</c:v>
                </c:pt>
                <c:pt idx="18">
                  <c:v>1967/68</c:v>
                </c:pt>
                <c:pt idx="19">
                  <c:v>1968/69</c:v>
                </c:pt>
                <c:pt idx="20">
                  <c:v>1969/70</c:v>
                </c:pt>
                <c:pt idx="21">
                  <c:v>1970/71</c:v>
                </c:pt>
                <c:pt idx="22">
                  <c:v>1971/72</c:v>
                </c:pt>
                <c:pt idx="23">
                  <c:v>1972/73</c:v>
                </c:pt>
                <c:pt idx="24">
                  <c:v>1973/74</c:v>
                </c:pt>
                <c:pt idx="25">
                  <c:v>1974/75</c:v>
                </c:pt>
                <c:pt idx="26">
                  <c:v>1975/76</c:v>
                </c:pt>
                <c:pt idx="27">
                  <c:v>1976/77</c:v>
                </c:pt>
                <c:pt idx="28">
                  <c:v>1977/78</c:v>
                </c:pt>
                <c:pt idx="29">
                  <c:v>1978/79</c:v>
                </c:pt>
                <c:pt idx="30">
                  <c:v>1979/80</c:v>
                </c:pt>
                <c:pt idx="31">
                  <c:v>1980/81</c:v>
                </c:pt>
                <c:pt idx="32">
                  <c:v>1981/82</c:v>
                </c:pt>
                <c:pt idx="33">
                  <c:v>1982/83</c:v>
                </c:pt>
                <c:pt idx="34">
                  <c:v>1983/84</c:v>
                </c:pt>
                <c:pt idx="35">
                  <c:v>1984/85</c:v>
                </c:pt>
                <c:pt idx="36">
                  <c:v>1985/86</c:v>
                </c:pt>
                <c:pt idx="37">
                  <c:v>1986/87</c:v>
                </c:pt>
                <c:pt idx="38">
                  <c:v>1987/88</c:v>
                </c:pt>
                <c:pt idx="39">
                  <c:v>1988/89</c:v>
                </c:pt>
                <c:pt idx="40">
                  <c:v>1989/90</c:v>
                </c:pt>
                <c:pt idx="41">
                  <c:v>1990/91</c:v>
                </c:pt>
                <c:pt idx="42">
                  <c:v>1991/92</c:v>
                </c:pt>
                <c:pt idx="43">
                  <c:v>1992/93</c:v>
                </c:pt>
                <c:pt idx="44">
                  <c:v>1993/94</c:v>
                </c:pt>
                <c:pt idx="45">
                  <c:v>1994/95</c:v>
                </c:pt>
                <c:pt idx="46">
                  <c:v>1995/96</c:v>
                </c:pt>
                <c:pt idx="47">
                  <c:v>1996/97</c:v>
                </c:pt>
                <c:pt idx="48">
                  <c:v>1997/98</c:v>
                </c:pt>
                <c:pt idx="49">
                  <c:v>1998/99</c:v>
                </c:pt>
                <c:pt idx="50">
                  <c:v>1999/00</c:v>
                </c:pt>
                <c:pt idx="51">
                  <c:v>2000/01</c:v>
                </c:pt>
                <c:pt idx="52">
                  <c:v>2001/02</c:v>
                </c:pt>
                <c:pt idx="53">
                  <c:v>2002/03</c:v>
                </c:pt>
                <c:pt idx="54">
                  <c:v>2003/04</c:v>
                </c:pt>
                <c:pt idx="55">
                  <c:v>2004/05</c:v>
                </c:pt>
                <c:pt idx="56">
                  <c:v>2005/06</c:v>
                </c:pt>
                <c:pt idx="57">
                  <c:v>2006/07</c:v>
                </c:pt>
                <c:pt idx="58">
                  <c:v>2007/08</c:v>
                </c:pt>
                <c:pt idx="59">
                  <c:v>2008/09</c:v>
                </c:pt>
                <c:pt idx="60">
                  <c:v>2009/10</c:v>
                </c:pt>
                <c:pt idx="61">
                  <c:v>2010/11</c:v>
                </c:pt>
                <c:pt idx="62">
                  <c:v>2011/12</c:v>
                </c:pt>
                <c:pt idx="63">
                  <c:v>2012/13</c:v>
                </c:pt>
                <c:pt idx="64">
                  <c:v>2013/14</c:v>
                </c:pt>
                <c:pt idx="65">
                  <c:v>2014/15</c:v>
                </c:pt>
                <c:pt idx="66">
                  <c:v>2015/16</c:v>
                </c:pt>
                <c:pt idx="67">
                  <c:v>2016/17</c:v>
                </c:pt>
                <c:pt idx="68">
                  <c:v>2017/18</c:v>
                </c:pt>
                <c:pt idx="69">
                  <c:v>2018/19</c:v>
                </c:pt>
                <c:pt idx="70">
                  <c:v>2019/20</c:v>
                </c:pt>
                <c:pt idx="71">
                  <c:v>2020/21</c:v>
                </c:pt>
                <c:pt idx="72">
                  <c:v>2021/22</c:v>
                </c:pt>
                <c:pt idx="73">
                  <c:v>2022/23</c:v>
                </c:pt>
                <c:pt idx="74">
                  <c:v>2023/24</c:v>
                </c:pt>
                <c:pt idx="75">
                  <c:v>2024/25</c:v>
                </c:pt>
                <c:pt idx="76">
                  <c:v>2025/26</c:v>
                </c:pt>
                <c:pt idx="77">
                  <c:v>2026/27</c:v>
                </c:pt>
              </c:strCache>
            </c:strRef>
          </c:cat>
          <c:val>
            <c:numRef>
              <c:f>'White M Products'!$Z$4:$Z$82</c:f>
              <c:numCache>
                <c:formatCode>#,##0</c:formatCode>
                <c:ptCount val="79"/>
                <c:pt idx="0">
                  <c:v>56.62225076256221</c:v>
                </c:pt>
                <c:pt idx="1">
                  <c:v>61.725385341302299</c:v>
                </c:pt>
                <c:pt idx="2">
                  <c:v>61.95552147239264</c:v>
                </c:pt>
                <c:pt idx="3">
                  <c:v>61.872009569377994</c:v>
                </c:pt>
                <c:pt idx="4">
                  <c:v>58.321790478967706</c:v>
                </c:pt>
                <c:pt idx="5">
                  <c:v>59.50095969289827</c:v>
                </c:pt>
                <c:pt idx="6">
                  <c:v>61.493655086332431</c:v>
                </c:pt>
                <c:pt idx="7">
                  <c:v>58.670363857703229</c:v>
                </c:pt>
                <c:pt idx="8">
                  <c:v>59.670184696569919</c:v>
                </c:pt>
                <c:pt idx="9">
                  <c:v>59.867490029589604</c:v>
                </c:pt>
                <c:pt idx="10">
                  <c:v>57.058602083071904</c:v>
                </c:pt>
                <c:pt idx="11">
                  <c:v>55.427379272258698</c:v>
                </c:pt>
                <c:pt idx="12">
                  <c:v>55.106817090734516</c:v>
                </c:pt>
                <c:pt idx="13">
                  <c:v>57.108518496804834</c:v>
                </c:pt>
                <c:pt idx="14">
                  <c:v>58.263706077601007</c:v>
                </c:pt>
                <c:pt idx="15">
                  <c:v>60.866401746236079</c:v>
                </c:pt>
                <c:pt idx="16">
                  <c:v>73.395999562793747</c:v>
                </c:pt>
                <c:pt idx="17">
                  <c:v>51.353226925746007</c:v>
                </c:pt>
                <c:pt idx="18">
                  <c:v>64.120623989148015</c:v>
                </c:pt>
                <c:pt idx="19">
                  <c:v>63.716994596798855</c:v>
                </c:pt>
                <c:pt idx="20">
                  <c:v>74.800895320389358</c:v>
                </c:pt>
                <c:pt idx="21">
                  <c:v>59.317718940936864</c:v>
                </c:pt>
                <c:pt idx="22">
                  <c:v>69.820717131474098</c:v>
                </c:pt>
                <c:pt idx="23">
                  <c:v>62.755798090040926</c:v>
                </c:pt>
                <c:pt idx="24">
                  <c:v>70.686367969494754</c:v>
                </c:pt>
                <c:pt idx="25">
                  <c:v>75.162027323168743</c:v>
                </c:pt>
                <c:pt idx="26">
                  <c:v>77.961771816979152</c:v>
                </c:pt>
                <c:pt idx="27">
                  <c:v>75.011155734047307</c:v>
                </c:pt>
                <c:pt idx="28">
                  <c:v>73.121753175885104</c:v>
                </c:pt>
                <c:pt idx="29">
                  <c:v>81.206793547836483</c:v>
                </c:pt>
                <c:pt idx="30">
                  <c:v>74.226890055847292</c:v>
                </c:pt>
                <c:pt idx="31">
                  <c:v>82.55052661542841</c:v>
                </c:pt>
                <c:pt idx="32">
                  <c:v>79.238548483045804</c:v>
                </c:pt>
                <c:pt idx="33">
                  <c:v>76.602155522076714</c:v>
                </c:pt>
                <c:pt idx="34">
                  <c:v>89.896099984942026</c:v>
                </c:pt>
                <c:pt idx="35">
                  <c:v>81.935318086707539</c:v>
                </c:pt>
                <c:pt idx="36">
                  <c:v>80.097435162630745</c:v>
                </c:pt>
                <c:pt idx="37">
                  <c:v>82.030293490047924</c:v>
                </c:pt>
                <c:pt idx="38">
                  <c:v>89.371226366713387</c:v>
                </c:pt>
                <c:pt idx="39">
                  <c:v>78.573023940082919</c:v>
                </c:pt>
                <c:pt idx="40">
                  <c:v>75.467833197056422</c:v>
                </c:pt>
                <c:pt idx="41">
                  <c:v>60.051299759661866</c:v>
                </c:pt>
                <c:pt idx="42">
                  <c:v>57.928876513840834</c:v>
                </c:pt>
                <c:pt idx="43">
                  <c:v>56.409131791968676</c:v>
                </c:pt>
                <c:pt idx="44">
                  <c:v>58.478967668452796</c:v>
                </c:pt>
                <c:pt idx="45">
                  <c:v>59.605745117410137</c:v>
                </c:pt>
                <c:pt idx="46">
                  <c:v>59.596515868322491</c:v>
                </c:pt>
                <c:pt idx="47">
                  <c:v>62.206806219225264</c:v>
                </c:pt>
                <c:pt idx="48">
                  <c:v>51.767107355628873</c:v>
                </c:pt>
                <c:pt idx="49">
                  <c:v>55.743949458819159</c:v>
                </c:pt>
                <c:pt idx="50">
                  <c:v>54.273680355262556</c:v>
                </c:pt>
                <c:pt idx="51">
                  <c:v>54.464666412333656</c:v>
                </c:pt>
                <c:pt idx="52">
                  <c:v>55.902670832049985</c:v>
                </c:pt>
                <c:pt idx="53">
                  <c:v>55.504103039048871</c:v>
                </c:pt>
                <c:pt idx="54">
                  <c:v>56.948439445326919</c:v>
                </c:pt>
                <c:pt idx="55">
                  <c:v>58.351817096058696</c:v>
                </c:pt>
                <c:pt idx="56">
                  <c:v>58.935240868519337</c:v>
                </c:pt>
                <c:pt idx="57">
                  <c:v>58.93293766065495</c:v>
                </c:pt>
                <c:pt idx="58">
                  <c:v>58.434489699509108</c:v>
                </c:pt>
                <c:pt idx="59">
                  <c:v>57.926643823117942</c:v>
                </c:pt>
                <c:pt idx="60">
                  <c:v>60.350863155367968</c:v>
                </c:pt>
                <c:pt idx="61">
                  <c:v>58.216537845691583</c:v>
                </c:pt>
                <c:pt idx="62">
                  <c:v>61.849297869463598</c:v>
                </c:pt>
                <c:pt idx="63">
                  <c:v>57.379600619078175</c:v>
                </c:pt>
                <c:pt idx="64">
                  <c:v>58.80956260879227</c:v>
                </c:pt>
                <c:pt idx="65">
                  <c:v>56.639154247866514</c:v>
                </c:pt>
                <c:pt idx="66">
                  <c:v>56.241642669337672</c:v>
                </c:pt>
                <c:pt idx="67">
                  <c:v>55.919111142563956</c:v>
                </c:pt>
                <c:pt idx="68">
                  <c:v>55.895939438034851</c:v>
                </c:pt>
                <c:pt idx="69">
                  <c:v>55.319608677158655</c:v>
                </c:pt>
                <c:pt idx="70">
                  <c:v>57.270839622957972</c:v>
                </c:pt>
                <c:pt idx="71">
                  <c:v>55.661955672314321</c:v>
                </c:pt>
                <c:pt idx="72">
                  <c:v>54.246291997162572</c:v>
                </c:pt>
                <c:pt idx="73">
                  <c:v>55.653414586960729</c:v>
                </c:pt>
                <c:pt idx="74">
                  <c:v>55.345473012188044</c:v>
                </c:pt>
                <c:pt idx="75">
                  <c:v>56</c:v>
                </c:pt>
                <c:pt idx="76">
                  <c:v>37</c:v>
                </c:pt>
              </c:numCache>
            </c:numRef>
          </c:val>
          <c:smooth val="0"/>
          <c:extLst>
            <c:ext xmlns:c16="http://schemas.microsoft.com/office/drawing/2014/chart" uri="{C3380CC4-5D6E-409C-BE32-E72D297353CC}">
              <c16:uniqueId val="{00000000-91D7-45D9-B61A-C1A7745E2CF6}"/>
            </c:ext>
          </c:extLst>
        </c:ser>
        <c:dLbls>
          <c:showLegendKey val="0"/>
          <c:showVal val="0"/>
          <c:showCatName val="0"/>
          <c:showSerName val="0"/>
          <c:showPercent val="0"/>
          <c:showBubbleSize val="0"/>
        </c:dLbls>
        <c:smooth val="0"/>
        <c:axId val="211075856"/>
        <c:axId val="211074872"/>
      </c:lineChart>
      <c:catAx>
        <c:axId val="211075856"/>
        <c:scaling>
          <c:orientation val="minMax"/>
        </c:scaling>
        <c:delete val="0"/>
        <c:axPos val="b"/>
        <c:majorGridlines>
          <c:spPr>
            <a:ln w="9525" cap="flat" cmpd="sng" algn="ctr">
              <a:solidFill>
                <a:schemeClr val="bg1">
                  <a:lumMod val="50000"/>
                  <a:alpha val="32000"/>
                </a:schemeClr>
              </a:solidFill>
              <a:round/>
            </a:ln>
            <a:effectLst/>
          </c:spPr>
        </c:majorGridlines>
        <c:numFmt formatCode="General" sourceLinked="1"/>
        <c:majorTickMark val="none"/>
        <c:minorTickMark val="none"/>
        <c:tickLblPos val="nextTo"/>
        <c:spPr>
          <a:noFill/>
          <a:ln w="3175" cap="flat" cmpd="sng" algn="ctr">
            <a:solidFill>
              <a:schemeClr val="tx1">
                <a:lumMod val="15000"/>
                <a:lumOff val="85000"/>
              </a:schemeClr>
            </a:solidFill>
            <a:round/>
            <a:tailEnd type="none" w="med" len="lg"/>
          </a:ln>
          <a:effectLst/>
        </c:spPr>
        <c:txPr>
          <a:bodyPr rot="-540000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11074872"/>
        <c:crosses val="autoZero"/>
        <c:auto val="1"/>
        <c:lblAlgn val="ctr"/>
        <c:lblOffset val="100"/>
        <c:noMultiLvlLbl val="0"/>
      </c:catAx>
      <c:valAx>
        <c:axId val="211074872"/>
        <c:scaling>
          <c:orientation val="minMax"/>
        </c:scaling>
        <c:delete val="0"/>
        <c:axPos val="l"/>
        <c:majorGridlines>
          <c:spPr>
            <a:ln w="9525" cap="flat" cmpd="sng" algn="ctr">
              <a:solidFill>
                <a:schemeClr val="bg1">
                  <a:lumMod val="65000"/>
                  <a:alpha val="32000"/>
                </a:schemeClr>
              </a:solidFill>
              <a:round/>
            </a:ln>
            <a:effectLst/>
          </c:spPr>
        </c:majorGridlines>
        <c:numFmt formatCode="0" sourceLinked="1"/>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211075856"/>
        <c:crosses val="autoZero"/>
        <c:crossBetween val="between"/>
      </c:valAx>
      <c:spPr>
        <a:solidFill>
          <a:sysClr val="window" lastClr="FFFFFF"/>
        </a:solidFill>
        <a:ln>
          <a:noFill/>
        </a:ln>
        <a:effectLst/>
      </c:spPr>
    </c:plotArea>
    <c:legend>
      <c:legendPos val="t"/>
      <c:layout>
        <c:manualLayout>
          <c:xMode val="edge"/>
          <c:yMode val="edge"/>
          <c:x val="0.25904539456636316"/>
          <c:y val="5.8288173385351215E-2"/>
          <c:w val="0.4914797246546207"/>
          <c:h val="4.7710902461888534E-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7">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38100" cap="flat" cmpd="dbl" algn="ctr">
        <a:solidFill>
          <a:schemeClr val="phClr"/>
        </a:solidFill>
        <a:miter lim="800000"/>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lt1"/>
        </a:solidFill>
        <a:round/>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tx1"/>
    </cs:fontRef>
    <cs:spPr>
      <a:ln w="9525">
        <a:solidFill>
          <a:schemeClr val="tx1">
            <a:lumMod val="35000"/>
            <a:lumOff val="65000"/>
          </a:schemeClr>
        </a:solidFill>
      </a:ln>
    </cs:spPr>
  </cs:dropLine>
  <cs:errorBar>
    <cs:lnRef idx="0"/>
    <cs:fillRef idx="0"/>
    <cs:effectRef idx="0"/>
    <cs:fontRef idx="minor">
      <a:schemeClr val="tx1"/>
    </cs:fontRef>
    <cs:spPr>
      <a:ln w="9525">
        <a:solidFill>
          <a:schemeClr val="tx1">
            <a:lumMod val="65000"/>
            <a:lumOff val="35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alpha val="32000"/>
          </a:schemeClr>
        </a:solidFill>
        <a:round/>
      </a:ln>
    </cs:spPr>
  </cs:gridlineMajor>
  <cs:gridlineMinor>
    <cs:lnRef idx="0"/>
    <cs:fillRef idx="0"/>
    <cs:effectRef idx="0"/>
    <cs:fontRef idx="minor">
      <a:schemeClr val="tx1"/>
    </cs:fontRef>
    <cs:spPr>
      <a:ln>
        <a:solidFill>
          <a:schemeClr val="tx1">
            <a:lumMod val="5000"/>
            <a:lumOff val="95000"/>
            <a:alpha val="32000"/>
          </a:schemeClr>
        </a:solidFill>
      </a:ln>
    </cs:spPr>
  </cs:gridlineMinor>
  <cs:hiLoLine>
    <cs:lnRef idx="0"/>
    <cs:fillRef idx="0"/>
    <cs:effectRef idx="0"/>
    <cs:fontRef idx="minor">
      <a:schemeClr val="tx1"/>
    </cs:fontRef>
    <cs:spPr>
      <a:ln w="9525">
        <a:solidFill>
          <a:schemeClr val="tx1"/>
        </a:solidFill>
      </a:ln>
    </cs:spPr>
  </cs:hiLoLine>
  <cs:leaderLine>
    <cs:lnRef idx="0"/>
    <cs:fillRef idx="0"/>
    <cs:effectRef idx="0"/>
    <cs:fontRef idx="minor">
      <a:schemeClr val="tx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spPr>
      <a:ln w="3175" cap="flat" cmpd="sng" algn="ctr">
        <a:solidFill>
          <a:schemeClr val="tx1">
            <a:lumMod val="15000"/>
            <a:lumOff val="85000"/>
          </a:schemeClr>
        </a:solidFill>
        <a:round/>
        <a:tailEnd type="none" w="med" len="lg"/>
      </a:ln>
    </cs:spPr>
    <cs:defRPr sz="900" kern="1200"/>
  </cs:seriesAxis>
  <cs:seriesLine>
    <cs:lnRef idx="0"/>
    <cs:fillRef idx="0"/>
    <cs:effectRef idx="0"/>
    <cs:fontRef idx="minor">
      <a:schemeClr val="tx1"/>
    </cs:fontRef>
    <cs:spPr>
      <a:ln w="9525">
        <a:solidFill>
          <a:schemeClr val="tx1">
            <a:lumMod val="35000"/>
            <a:lumOff val="65000"/>
          </a:schemeClr>
        </a:solidFill>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2700" cap="rnd"/>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valueAxis>
  <cs:wall>
    <cs:lnRef idx="0"/>
    <cs:fillRef idx="0"/>
    <cs:effectRef idx="0"/>
    <cs:fontRef idx="minor">
      <a:schemeClr val="tx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9.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85"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sheetViews>
    <sheetView zoomScale="96"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tabColor theme="1" tint="0.499984740745262"/>
  </sheetPr>
  <sheetViews>
    <sheetView zoomScale="99" workbookViewId="0" zoomToFit="1"/>
  </sheetViews>
  <pageMargins left="0.7" right="0.7" top="0.75" bottom="0.75" header="0.3" footer="0.3"/>
  <pageSetup paperSize="9"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tabColor theme="1" tint="0.499984740745262"/>
  </sheetPr>
  <sheetViews>
    <sheetView zoomScale="9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800467</xdr:colOff>
      <xdr:row>0</xdr:row>
      <xdr:rowOff>362241</xdr:rowOff>
    </xdr:to>
    <xdr:pic>
      <xdr:nvPicPr>
        <xdr:cNvPr id="2" name="Picture 1">
          <a:extLst>
            <a:ext uri="{FF2B5EF4-FFF2-40B4-BE49-F238E27FC236}">
              <a16:creationId xmlns:a16="http://schemas.microsoft.com/office/drawing/2014/main" id="{3460BF8B-DEBC-4EC9-AA72-BFA33A3BCBF3}"/>
            </a:ext>
          </a:extLst>
        </xdr:cNvPr>
        <xdr:cNvPicPr>
          <a:picLocks noChangeAspect="1"/>
        </xdr:cNvPicPr>
      </xdr:nvPicPr>
      <xdr:blipFill rotWithShape="1">
        <a:blip xmlns:r="http://schemas.openxmlformats.org/officeDocument/2006/relationships" r:embed="rId1"/>
        <a:srcRect l="16016" t="9414" r="15208" b="35151"/>
        <a:stretch/>
      </xdr:blipFill>
      <xdr:spPr>
        <a:xfrm>
          <a:off x="0" y="0"/>
          <a:ext cx="800467" cy="3660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800467</xdr:colOff>
      <xdr:row>0</xdr:row>
      <xdr:rowOff>362241</xdr:rowOff>
    </xdr:to>
    <xdr:pic>
      <xdr:nvPicPr>
        <xdr:cNvPr id="2" name="Picture 1">
          <a:extLst>
            <a:ext uri="{FF2B5EF4-FFF2-40B4-BE49-F238E27FC236}">
              <a16:creationId xmlns:a16="http://schemas.microsoft.com/office/drawing/2014/main" id="{50FD3AD9-752F-431C-88E4-39B7E532E4B7}"/>
            </a:ext>
          </a:extLst>
        </xdr:cNvPr>
        <xdr:cNvPicPr>
          <a:picLocks noChangeAspect="1"/>
        </xdr:cNvPicPr>
      </xdr:nvPicPr>
      <xdr:blipFill rotWithShape="1">
        <a:blip xmlns:r="http://schemas.openxmlformats.org/officeDocument/2006/relationships" r:embed="rId1"/>
        <a:srcRect l="16016" t="9414" r="15208" b="35151"/>
        <a:stretch/>
      </xdr:blipFill>
      <xdr:spPr>
        <a:xfrm>
          <a:off x="0" y="0"/>
          <a:ext cx="800467" cy="3660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659906" cy="6266329"/>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0.45688</cdr:x>
      <cdr:y>0.88154</cdr:y>
    </cdr:from>
    <cdr:to>
      <cdr:x>0.79296</cdr:x>
      <cdr:y>0.8927</cdr:y>
    </cdr:to>
    <cdr:cxnSp macro="">
      <cdr:nvCxnSpPr>
        <cdr:cNvPr id="3" name="Straight Connector 2">
          <a:extLst xmlns:a="http://schemas.openxmlformats.org/drawingml/2006/main">
            <a:ext uri="{FF2B5EF4-FFF2-40B4-BE49-F238E27FC236}">
              <a16:creationId xmlns:a16="http://schemas.microsoft.com/office/drawing/2014/main" id="{94F02B7A-8DB1-4F6C-847D-0009D995578B}"/>
            </a:ext>
          </a:extLst>
        </cdr:cNvPr>
        <cdr:cNvCxnSpPr/>
      </cdr:nvCxnSpPr>
      <cdr:spPr>
        <a:xfrm xmlns:a="http://schemas.openxmlformats.org/drawingml/2006/main">
          <a:off x="3956504" y="5524020"/>
          <a:ext cx="2910421" cy="69932"/>
        </a:xfrm>
        <a:prstGeom xmlns:a="http://schemas.openxmlformats.org/drawingml/2006/main" prst="line">
          <a:avLst/>
        </a:prstGeom>
        <a:ln xmlns:a="http://schemas.openxmlformats.org/drawingml/2006/main" w="28575">
          <a:solidFill>
            <a:schemeClr val="accent6">
              <a:lumMod val="75000"/>
            </a:schemeClr>
          </a:solidFill>
          <a:prstDash val="sysDot"/>
        </a:ln>
      </cdr:spPr>
      <cdr:style>
        <a:lnRef xmlns:a="http://schemas.openxmlformats.org/drawingml/2006/main" idx="1">
          <a:schemeClr val="accent6"/>
        </a:lnRef>
        <a:fillRef xmlns:a="http://schemas.openxmlformats.org/drawingml/2006/main" idx="0">
          <a:schemeClr val="accent6"/>
        </a:fillRef>
        <a:effectRef xmlns:a="http://schemas.openxmlformats.org/drawingml/2006/main" idx="0">
          <a:schemeClr val="accent6"/>
        </a:effectRef>
        <a:fontRef xmlns:a="http://schemas.openxmlformats.org/drawingml/2006/main" idx="minor">
          <a:schemeClr val="tx1"/>
        </a:fontRef>
      </cdr:style>
    </cdr:cxnSp>
  </cdr:relSizeAnchor>
  <cdr:relSizeAnchor xmlns:cdr="http://schemas.openxmlformats.org/drawingml/2006/chartDrawing">
    <cdr:from>
      <cdr:x>0.46112</cdr:x>
      <cdr:y>0.45923</cdr:y>
    </cdr:from>
    <cdr:to>
      <cdr:x>0.80124</cdr:x>
      <cdr:y>0.7721</cdr:y>
    </cdr:to>
    <cdr:cxnSp macro="">
      <cdr:nvCxnSpPr>
        <cdr:cNvPr id="5" name="Straight Connector 4">
          <a:extLst xmlns:a="http://schemas.openxmlformats.org/drawingml/2006/main">
            <a:ext uri="{FF2B5EF4-FFF2-40B4-BE49-F238E27FC236}">
              <a16:creationId xmlns:a16="http://schemas.microsoft.com/office/drawing/2014/main" id="{82DD53D5-6029-4B2A-B01E-D73FF1C4ECE9}"/>
            </a:ext>
          </a:extLst>
        </cdr:cNvPr>
        <cdr:cNvCxnSpPr/>
      </cdr:nvCxnSpPr>
      <cdr:spPr>
        <a:xfrm xmlns:a="http://schemas.openxmlformats.org/drawingml/2006/main" flipV="1">
          <a:off x="3993273" y="2877686"/>
          <a:ext cx="2945407" cy="1960547"/>
        </a:xfrm>
        <a:prstGeom xmlns:a="http://schemas.openxmlformats.org/drawingml/2006/main" prst="line">
          <a:avLst/>
        </a:prstGeom>
        <a:ln xmlns:a="http://schemas.openxmlformats.org/drawingml/2006/main" w="28575">
          <a:solidFill>
            <a:srgbClr val="FF0000"/>
          </a:solidFill>
          <a:prstDash val="sysDot"/>
        </a:ln>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0.45991</cdr:x>
      <cdr:y>0.8102</cdr:y>
    </cdr:from>
    <cdr:to>
      <cdr:x>0.79918</cdr:x>
      <cdr:y>0.8927</cdr:y>
    </cdr:to>
    <cdr:cxnSp macro="">
      <cdr:nvCxnSpPr>
        <cdr:cNvPr id="7" name="Straight Connector 6">
          <a:extLst xmlns:a="http://schemas.openxmlformats.org/drawingml/2006/main">
            <a:ext uri="{FF2B5EF4-FFF2-40B4-BE49-F238E27FC236}">
              <a16:creationId xmlns:a16="http://schemas.microsoft.com/office/drawing/2014/main" id="{1517E877-CFA2-437F-9CE4-063B1953E7FC}"/>
            </a:ext>
          </a:extLst>
        </cdr:cNvPr>
        <cdr:cNvCxnSpPr/>
      </cdr:nvCxnSpPr>
      <cdr:spPr>
        <a:xfrm xmlns:a="http://schemas.openxmlformats.org/drawingml/2006/main">
          <a:off x="3982749" y="5076984"/>
          <a:ext cx="2938046" cy="516972"/>
        </a:xfrm>
        <a:prstGeom xmlns:a="http://schemas.openxmlformats.org/drawingml/2006/main" prst="line">
          <a:avLst/>
        </a:prstGeom>
        <a:ln xmlns:a="http://schemas.openxmlformats.org/drawingml/2006/main" w="28575">
          <a:solidFill>
            <a:srgbClr val="9D87B7"/>
          </a:solidFill>
          <a:prstDash val="sysDot"/>
        </a:ln>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0.45697</cdr:x>
      <cdr:y>0.70802</cdr:y>
    </cdr:from>
    <cdr:to>
      <cdr:x>0.79503</cdr:x>
      <cdr:y>0.81545</cdr:y>
    </cdr:to>
    <cdr:cxnSp macro="">
      <cdr:nvCxnSpPr>
        <cdr:cNvPr id="9" name="Straight Connector 8">
          <a:extLst xmlns:a="http://schemas.openxmlformats.org/drawingml/2006/main">
            <a:ext uri="{FF2B5EF4-FFF2-40B4-BE49-F238E27FC236}">
              <a16:creationId xmlns:a16="http://schemas.microsoft.com/office/drawing/2014/main" id="{DAB32EED-8A2F-4E38-B1FB-9DE7B46B7585}"/>
            </a:ext>
          </a:extLst>
        </cdr:cNvPr>
        <cdr:cNvCxnSpPr/>
      </cdr:nvCxnSpPr>
      <cdr:spPr>
        <a:xfrm xmlns:a="http://schemas.openxmlformats.org/drawingml/2006/main">
          <a:off x="3957286" y="4436682"/>
          <a:ext cx="2927568" cy="673192"/>
        </a:xfrm>
        <a:prstGeom xmlns:a="http://schemas.openxmlformats.org/drawingml/2006/main" prst="line">
          <a:avLst/>
        </a:prstGeom>
        <a:ln xmlns:a="http://schemas.openxmlformats.org/drawingml/2006/main" w="28575">
          <a:solidFill>
            <a:schemeClr val="accent3">
              <a:lumMod val="75000"/>
            </a:schemeClr>
          </a:solidFill>
          <a:prstDash val="sysDot"/>
        </a:ln>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0.46184</cdr:x>
      <cdr:y>0.35336</cdr:y>
    </cdr:from>
    <cdr:to>
      <cdr:x>0.79814</cdr:x>
      <cdr:y>0.48048</cdr:y>
    </cdr:to>
    <cdr:cxnSp macro="">
      <cdr:nvCxnSpPr>
        <cdr:cNvPr id="11" name="Straight Connector 10">
          <a:extLst xmlns:a="http://schemas.openxmlformats.org/drawingml/2006/main">
            <a:ext uri="{FF2B5EF4-FFF2-40B4-BE49-F238E27FC236}">
              <a16:creationId xmlns:a16="http://schemas.microsoft.com/office/drawing/2014/main" id="{BBDF60AE-6997-48CE-8293-72E80C5132AD}"/>
            </a:ext>
          </a:extLst>
        </cdr:cNvPr>
        <cdr:cNvCxnSpPr/>
      </cdr:nvCxnSpPr>
      <cdr:spPr>
        <a:xfrm xmlns:a="http://schemas.openxmlformats.org/drawingml/2006/main" flipV="1">
          <a:off x="3999467" y="2214259"/>
          <a:ext cx="2912326" cy="796575"/>
        </a:xfrm>
        <a:prstGeom xmlns:a="http://schemas.openxmlformats.org/drawingml/2006/main" prst="line">
          <a:avLst/>
        </a:prstGeom>
        <a:ln xmlns:a="http://schemas.openxmlformats.org/drawingml/2006/main" w="28575">
          <a:solidFill>
            <a:srgbClr val="0000FF"/>
          </a:solidFill>
          <a:prstDash val="sysDot"/>
        </a:ln>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0.00803</cdr:x>
      <cdr:y>0.07337</cdr:y>
    </cdr:from>
    <cdr:to>
      <cdr:x>0.05888</cdr:x>
      <cdr:y>0.1087</cdr:y>
    </cdr:to>
    <cdr:sp macro="" textlink="">
      <cdr:nvSpPr>
        <cdr:cNvPr id="38" name="TextBox 37"/>
        <cdr:cNvSpPr txBox="1"/>
      </cdr:nvSpPr>
      <cdr:spPr>
        <a:xfrm xmlns:a="http://schemas.openxmlformats.org/drawingml/2006/main">
          <a:off x="74543" y="447261"/>
          <a:ext cx="472109" cy="2153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050" b="1">
              <a:latin typeface="Arial Narrow" panose="020B0606020202030204" pitchFamily="34" charset="0"/>
            </a:rPr>
            <a:t>Ton</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651875" cy="6262688"/>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0.6082</cdr:x>
      <cdr:y>0.50426</cdr:y>
    </cdr:from>
    <cdr:to>
      <cdr:x>0.83595</cdr:x>
      <cdr:y>0.70952</cdr:y>
    </cdr:to>
    <cdr:cxnSp macro="">
      <cdr:nvCxnSpPr>
        <cdr:cNvPr id="3" name="Straight Connector 2">
          <a:extLst xmlns:a="http://schemas.openxmlformats.org/drawingml/2006/main">
            <a:ext uri="{FF2B5EF4-FFF2-40B4-BE49-F238E27FC236}">
              <a16:creationId xmlns:a16="http://schemas.microsoft.com/office/drawing/2014/main" id="{CEA43930-E10C-4F03-8C85-FB768D74E6D9}"/>
            </a:ext>
          </a:extLst>
        </cdr:cNvPr>
        <cdr:cNvCxnSpPr/>
      </cdr:nvCxnSpPr>
      <cdr:spPr>
        <a:xfrm xmlns:a="http://schemas.openxmlformats.org/drawingml/2006/main">
          <a:off x="5262091" y="3157993"/>
          <a:ext cx="1970464" cy="1285479"/>
        </a:xfrm>
        <a:prstGeom xmlns:a="http://schemas.openxmlformats.org/drawingml/2006/main" prst="line">
          <a:avLst/>
        </a:prstGeom>
        <a:ln xmlns:a="http://schemas.openxmlformats.org/drawingml/2006/main" w="28575">
          <a:solidFill>
            <a:srgbClr val="0000FF"/>
          </a:solidFill>
          <a:prstDash val="sysDot"/>
        </a:ln>
      </cdr:spPr>
      <cdr:style>
        <a:lnRef xmlns:a="http://schemas.openxmlformats.org/drawingml/2006/main" idx="1">
          <a:schemeClr val="accent6"/>
        </a:lnRef>
        <a:fillRef xmlns:a="http://schemas.openxmlformats.org/drawingml/2006/main" idx="0">
          <a:schemeClr val="accent6"/>
        </a:fillRef>
        <a:effectRef xmlns:a="http://schemas.openxmlformats.org/drawingml/2006/main" idx="0">
          <a:schemeClr val="accent6"/>
        </a:effectRef>
        <a:fontRef xmlns:a="http://schemas.openxmlformats.org/drawingml/2006/main" idx="minor">
          <a:schemeClr val="tx1"/>
        </a:fontRef>
      </cdr:style>
    </cdr:cxnSp>
  </cdr:relSizeAnchor>
  <cdr:relSizeAnchor xmlns:cdr="http://schemas.openxmlformats.org/drawingml/2006/chartDrawing">
    <cdr:from>
      <cdr:x>0.60894</cdr:x>
      <cdr:y>0.46997</cdr:y>
    </cdr:from>
    <cdr:to>
      <cdr:x>0.83572</cdr:x>
      <cdr:y>0.48414</cdr:y>
    </cdr:to>
    <cdr:cxnSp macro="">
      <cdr:nvCxnSpPr>
        <cdr:cNvPr id="4" name="Straight Connector 3">
          <a:extLst xmlns:a="http://schemas.openxmlformats.org/drawingml/2006/main">
            <a:ext uri="{FF2B5EF4-FFF2-40B4-BE49-F238E27FC236}">
              <a16:creationId xmlns:a16="http://schemas.microsoft.com/office/drawing/2014/main" id="{EAB24921-6291-422B-9387-8249643E1C5C}"/>
            </a:ext>
          </a:extLst>
        </cdr:cNvPr>
        <cdr:cNvCxnSpPr/>
      </cdr:nvCxnSpPr>
      <cdr:spPr>
        <a:xfrm xmlns:a="http://schemas.openxmlformats.org/drawingml/2006/main" flipV="1">
          <a:off x="5268455" y="2943275"/>
          <a:ext cx="1962072" cy="88743"/>
        </a:xfrm>
        <a:prstGeom xmlns:a="http://schemas.openxmlformats.org/drawingml/2006/main" prst="line">
          <a:avLst/>
        </a:prstGeom>
        <a:ln xmlns:a="http://schemas.openxmlformats.org/drawingml/2006/main" w="28575">
          <a:solidFill>
            <a:srgbClr val="FF0000"/>
          </a:solidFill>
          <a:prstDash val="sysDot"/>
        </a:ln>
      </cdr:spPr>
      <cdr:style>
        <a:lnRef xmlns:a="http://schemas.openxmlformats.org/drawingml/2006/main" idx="1">
          <a:schemeClr val="accent6"/>
        </a:lnRef>
        <a:fillRef xmlns:a="http://schemas.openxmlformats.org/drawingml/2006/main" idx="0">
          <a:schemeClr val="accent6"/>
        </a:fillRef>
        <a:effectRef xmlns:a="http://schemas.openxmlformats.org/drawingml/2006/main" idx="0">
          <a:schemeClr val="accent6"/>
        </a:effectRef>
        <a:fontRef xmlns:a="http://schemas.openxmlformats.org/drawingml/2006/main" idx="minor">
          <a:schemeClr val="tx1"/>
        </a:fontRef>
      </cdr:style>
    </cdr:cxnSp>
  </cdr:relSizeAnchor>
  <cdr:relSizeAnchor xmlns:cdr="http://schemas.openxmlformats.org/drawingml/2006/chartDrawing">
    <cdr:from>
      <cdr:x>0.60798</cdr:x>
      <cdr:y>0.82111</cdr:y>
    </cdr:from>
    <cdr:to>
      <cdr:x>0.83754</cdr:x>
      <cdr:y>0.8634</cdr:y>
    </cdr:to>
    <cdr:cxnSp macro="">
      <cdr:nvCxnSpPr>
        <cdr:cNvPr id="7" name="Straight Connector 6">
          <a:extLst xmlns:a="http://schemas.openxmlformats.org/drawingml/2006/main">
            <a:ext uri="{FF2B5EF4-FFF2-40B4-BE49-F238E27FC236}">
              <a16:creationId xmlns:a16="http://schemas.microsoft.com/office/drawing/2014/main" id="{FB1E6228-B5E3-4B93-A251-93AEC99F5D36}"/>
            </a:ext>
          </a:extLst>
        </cdr:cNvPr>
        <cdr:cNvCxnSpPr/>
      </cdr:nvCxnSpPr>
      <cdr:spPr>
        <a:xfrm xmlns:a="http://schemas.openxmlformats.org/drawingml/2006/main">
          <a:off x="5260152" y="5142356"/>
          <a:ext cx="1986125" cy="264849"/>
        </a:xfrm>
        <a:prstGeom xmlns:a="http://schemas.openxmlformats.org/drawingml/2006/main" prst="line">
          <a:avLst/>
        </a:prstGeom>
        <a:ln xmlns:a="http://schemas.openxmlformats.org/drawingml/2006/main" w="28575">
          <a:solidFill>
            <a:srgbClr val="D96709"/>
          </a:solidFill>
          <a:prstDash val="sysDot"/>
        </a:ln>
      </cdr:spPr>
      <cdr:style>
        <a:lnRef xmlns:a="http://schemas.openxmlformats.org/drawingml/2006/main" idx="1">
          <a:schemeClr val="accent6"/>
        </a:lnRef>
        <a:fillRef xmlns:a="http://schemas.openxmlformats.org/drawingml/2006/main" idx="0">
          <a:schemeClr val="accent6"/>
        </a:fillRef>
        <a:effectRef xmlns:a="http://schemas.openxmlformats.org/drawingml/2006/main" idx="0">
          <a:schemeClr val="accent6"/>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absoluteAnchor>
    <xdr:pos x="0" y="0"/>
    <xdr:ext cx="9274848" cy="6080606"/>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cdr:x>
      <cdr:y>0.97082</cdr:y>
    </cdr:from>
    <cdr:to>
      <cdr:x>0.26076</cdr:x>
      <cdr:y>1</cdr:y>
    </cdr:to>
    <cdr:sp macro="" textlink="">
      <cdr:nvSpPr>
        <cdr:cNvPr id="14" name="TextBox 13"/>
        <cdr:cNvSpPr txBox="1"/>
      </cdr:nvSpPr>
      <cdr:spPr>
        <a:xfrm xmlns:a="http://schemas.openxmlformats.org/drawingml/2006/main">
          <a:off x="0" y="5902377"/>
          <a:ext cx="2420286" cy="1774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800" i="1">
              <a:solidFill>
                <a:schemeClr val="bg1">
                  <a:lumMod val="50000"/>
                </a:schemeClr>
              </a:solidFill>
            </a:rPr>
            <a:t>I:Wheaten Prod Hist Info - Maize: Maize</a:t>
          </a:r>
          <a:r>
            <a:rPr lang="en-ZA" sz="800" i="1" baseline="0">
              <a:solidFill>
                <a:schemeClr val="bg1">
                  <a:lumMod val="50000"/>
                </a:schemeClr>
              </a:solidFill>
            </a:rPr>
            <a:t> Prod Hist Info</a:t>
          </a:r>
          <a:endParaRPr lang="en-ZA" sz="800" i="1">
            <a:solidFill>
              <a:schemeClr val="bg1">
                <a:lumMod val="50000"/>
              </a:schemeClr>
            </a:solidFill>
          </a:endParaRPr>
        </a:p>
      </cdr:txBody>
    </cdr:sp>
  </cdr:relSizeAnchor>
  <cdr:relSizeAnchor xmlns:cdr="http://schemas.openxmlformats.org/drawingml/2006/chartDrawing">
    <cdr:from>
      <cdr:x>0.00252</cdr:x>
      <cdr:y>0.05641</cdr:y>
    </cdr:from>
    <cdr:to>
      <cdr:x>0.07563</cdr:x>
      <cdr:y>0.09231</cdr:y>
    </cdr:to>
    <cdr:sp macro="" textlink="">
      <cdr:nvSpPr>
        <cdr:cNvPr id="2" name="TextBox 1"/>
        <cdr:cNvSpPr txBox="1"/>
      </cdr:nvSpPr>
      <cdr:spPr>
        <a:xfrm xmlns:a="http://schemas.openxmlformats.org/drawingml/2006/main">
          <a:off x="23422" y="343525"/>
          <a:ext cx="679242" cy="2186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ZA" sz="1100"/>
            <a:t>Kg/head</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651875" cy="6262688"/>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0.41393</cdr:x>
      <cdr:y>0.11143</cdr:y>
    </cdr:from>
    <cdr:to>
      <cdr:x>0.60215</cdr:x>
      <cdr:y>0.17937</cdr:y>
    </cdr:to>
    <cdr:sp macro="" textlink="">
      <cdr:nvSpPr>
        <cdr:cNvPr id="2" name="TextBox 1"/>
        <cdr:cNvSpPr txBox="1"/>
      </cdr:nvSpPr>
      <cdr:spPr>
        <a:xfrm xmlns:a="http://schemas.openxmlformats.org/drawingml/2006/main">
          <a:off x="3849886" y="680505"/>
          <a:ext cx="1750612" cy="4149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ZA" sz="1600">
              <a:latin typeface="Arial Narrow" panose="020B0606020202030204" pitchFamily="34" charset="0"/>
            </a:rPr>
            <a:t>kg/head</a:t>
          </a:r>
        </a:p>
      </cdr:txBody>
    </cdr:sp>
  </cdr:relSizeAnchor>
  <cdr:relSizeAnchor xmlns:cdr="http://schemas.openxmlformats.org/drawingml/2006/chartDrawing">
    <cdr:from>
      <cdr:x>0.30971</cdr:x>
      <cdr:y>0.00317</cdr:y>
    </cdr:from>
    <cdr:to>
      <cdr:x>0.68899</cdr:x>
      <cdr:y>0.07111</cdr:y>
    </cdr:to>
    <cdr:sp macro="" textlink="">
      <cdr:nvSpPr>
        <cdr:cNvPr id="11" name="TextBox 1"/>
        <cdr:cNvSpPr txBox="1"/>
      </cdr:nvSpPr>
      <cdr:spPr>
        <a:xfrm xmlns:a="http://schemas.openxmlformats.org/drawingml/2006/main">
          <a:off x="2876823" y="19328"/>
          <a:ext cx="3523072" cy="41448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1800" b="1">
              <a:latin typeface="Arial Narrow" panose="020B0606020202030204" pitchFamily="34" charset="0"/>
            </a:rPr>
            <a:t>Per</a:t>
          </a:r>
          <a:r>
            <a:rPr lang="en-ZA" sz="1800" b="1" baseline="0">
              <a:latin typeface="Arial Narrow" panose="020B0606020202030204" pitchFamily="34" charset="0"/>
            </a:rPr>
            <a:t> Capita  Consumption</a:t>
          </a:r>
          <a:endParaRPr lang="en-ZA" sz="1800" b="1">
            <a:latin typeface="Arial Narrow" panose="020B0606020202030204" pitchFamily="34" charset="0"/>
          </a:endParaRPr>
        </a:p>
      </cdr:txBody>
    </cdr:sp>
  </cdr:relSizeAnchor>
  <cdr:relSizeAnchor xmlns:cdr="http://schemas.openxmlformats.org/drawingml/2006/chartDrawing">
    <cdr:from>
      <cdr:x>0.00508</cdr:x>
      <cdr:y>0.97216</cdr:y>
    </cdr:from>
    <cdr:to>
      <cdr:x>0.19742</cdr:x>
      <cdr:y>1</cdr:y>
    </cdr:to>
    <cdr:sp macro="" textlink="">
      <cdr:nvSpPr>
        <cdr:cNvPr id="3" name="TextBox 2"/>
        <cdr:cNvSpPr txBox="1"/>
      </cdr:nvSpPr>
      <cdr:spPr>
        <a:xfrm xmlns:a="http://schemas.openxmlformats.org/drawingml/2006/main">
          <a:off x="47231" y="5935413"/>
          <a:ext cx="1786922" cy="1699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800">
              <a:solidFill>
                <a:schemeClr val="tx1">
                  <a:lumMod val="50000"/>
                  <a:lumOff val="50000"/>
                </a:schemeClr>
              </a:solidFill>
            </a:rPr>
            <a:t>Info/prod/maize</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AD104"/>
  <sheetViews>
    <sheetView showGridLines="0" tabSelected="1" zoomScale="85" zoomScaleNormal="85" workbookViewId="0">
      <pane xSplit="1" ySplit="3" topLeftCell="B72" activePane="bottomRight" state="frozen"/>
      <selection pane="topRight" activeCell="B1" sqref="B1"/>
      <selection pane="bottomLeft" activeCell="A4" sqref="A4"/>
      <selection pane="bottomRight" activeCell="B97" sqref="B97"/>
    </sheetView>
  </sheetViews>
  <sheetFormatPr defaultColWidth="9.109375" defaultRowHeight="14.4" x14ac:dyDescent="0.3"/>
  <cols>
    <col min="1" max="1" width="13.6640625" style="174" customWidth="1"/>
    <col min="2" max="4" width="9.77734375" style="177" customWidth="1"/>
    <col min="5" max="5" width="12.6640625" style="177" customWidth="1"/>
    <col min="6" max="10" width="9.77734375" style="177" customWidth="1"/>
    <col min="11" max="13" width="12.6640625" style="177" customWidth="1"/>
    <col min="14" max="14" width="17.109375" style="177" customWidth="1"/>
    <col min="15" max="15" width="2.109375" style="177" customWidth="1"/>
    <col min="16" max="16" width="10.5546875" style="174" hidden="1" customWidth="1"/>
    <col min="17" max="17" width="4.44140625" style="174" hidden="1" customWidth="1"/>
    <col min="18" max="18" width="9.109375" style="174" hidden="1" customWidth="1"/>
    <col min="19" max="19" width="14" style="177" hidden="1" customWidth="1"/>
    <col min="20" max="20" width="11.77734375" style="174" customWidth="1"/>
    <col min="21" max="21" width="17.33203125" style="174" customWidth="1"/>
    <col min="22" max="22" width="9.77734375" style="178" customWidth="1"/>
    <col min="23" max="23" width="16.88671875" style="179" bestFit="1" customWidth="1"/>
    <col min="24" max="24" width="10" style="174" customWidth="1"/>
    <col min="25" max="25" width="2.77734375" style="174" customWidth="1"/>
    <col min="26" max="26" width="10.21875" style="178" customWidth="1"/>
    <col min="27" max="27" width="2.44140625" style="174" customWidth="1"/>
    <col min="28" max="28" width="9.109375" style="177"/>
    <col min="29" max="30" width="12.88671875" style="174" bestFit="1" customWidth="1"/>
    <col min="31" max="16384" width="9.109375" style="174"/>
  </cols>
  <sheetData>
    <row r="1" spans="1:29" ht="30.6" customHeight="1" thickBot="1" x14ac:dyDescent="0.35">
      <c r="B1" s="176" t="s">
        <v>187</v>
      </c>
      <c r="D1" s="176"/>
      <c r="E1" s="176"/>
      <c r="F1" s="176"/>
      <c r="G1" s="175"/>
      <c r="H1" s="175"/>
      <c r="I1" s="175"/>
      <c r="J1" s="175"/>
      <c r="K1" s="175"/>
      <c r="L1" s="175"/>
      <c r="M1" s="175"/>
      <c r="N1" s="175"/>
      <c r="Z1" s="180"/>
    </row>
    <row r="2" spans="1:29" s="191" customFormat="1" ht="92.25" customHeight="1" thickBot="1" x14ac:dyDescent="0.35">
      <c r="A2" s="181" t="s">
        <v>14</v>
      </c>
      <c r="B2" s="182" t="s">
        <v>6</v>
      </c>
      <c r="C2" s="182" t="s">
        <v>7</v>
      </c>
      <c r="D2" s="183" t="s">
        <v>8</v>
      </c>
      <c r="E2" s="184" t="s">
        <v>186</v>
      </c>
      <c r="F2" s="185" t="s">
        <v>9</v>
      </c>
      <c r="G2" s="182" t="s">
        <v>10</v>
      </c>
      <c r="H2" s="185" t="s">
        <v>11</v>
      </c>
      <c r="I2" s="182" t="s">
        <v>12</v>
      </c>
      <c r="J2" s="183" t="s">
        <v>253</v>
      </c>
      <c r="K2" s="184" t="s">
        <v>185</v>
      </c>
      <c r="L2" s="186" t="s">
        <v>248</v>
      </c>
      <c r="M2" s="187" t="s">
        <v>249</v>
      </c>
      <c r="N2" s="188" t="s">
        <v>227</v>
      </c>
      <c r="O2" s="189"/>
      <c r="P2" s="190" t="s">
        <v>212</v>
      </c>
      <c r="S2" s="192" t="s">
        <v>221</v>
      </c>
      <c r="T2" s="193" t="s">
        <v>222</v>
      </c>
      <c r="U2" s="194" t="s">
        <v>220</v>
      </c>
      <c r="V2" s="195" t="s">
        <v>223</v>
      </c>
      <c r="W2" s="182" t="s">
        <v>260</v>
      </c>
      <c r="X2" s="196" t="s">
        <v>228</v>
      </c>
      <c r="Z2" s="197" t="s">
        <v>233</v>
      </c>
      <c r="AB2" s="363" t="s">
        <v>259</v>
      </c>
      <c r="AC2" s="364"/>
    </row>
    <row r="3" spans="1:29" ht="16.2" thickBot="1" x14ac:dyDescent="0.35">
      <c r="A3" s="360" t="s">
        <v>166</v>
      </c>
      <c r="B3" s="361"/>
      <c r="C3" s="361"/>
      <c r="D3" s="361"/>
      <c r="E3" s="361"/>
      <c r="F3" s="361"/>
      <c r="G3" s="361"/>
      <c r="H3" s="361"/>
      <c r="I3" s="361"/>
      <c r="J3" s="361"/>
      <c r="K3" s="361"/>
      <c r="L3" s="361"/>
      <c r="M3" s="361"/>
      <c r="N3" s="362"/>
      <c r="O3" s="198"/>
      <c r="P3" s="199"/>
      <c r="T3" s="200"/>
      <c r="U3" s="201" t="s">
        <v>224</v>
      </c>
      <c r="V3" s="202" t="s">
        <v>261</v>
      </c>
      <c r="W3" s="203" t="s">
        <v>224</v>
      </c>
      <c r="X3" s="204" t="s">
        <v>261</v>
      </c>
      <c r="Z3" s="204" t="s">
        <v>261</v>
      </c>
      <c r="AB3" s="327" t="s">
        <v>166</v>
      </c>
      <c r="AC3" s="328" t="s">
        <v>224</v>
      </c>
    </row>
    <row r="4" spans="1:29" x14ac:dyDescent="0.3">
      <c r="A4" s="205" t="s">
        <v>0</v>
      </c>
      <c r="B4" s="206">
        <v>49713.683199999999</v>
      </c>
      <c r="C4" s="206">
        <v>8346.0928000000004</v>
      </c>
      <c r="D4" s="207">
        <v>43272.676799999994</v>
      </c>
      <c r="E4" s="208">
        <f>SUM(B4:D4)</f>
        <v>101332.4528</v>
      </c>
      <c r="F4" s="209"/>
      <c r="G4" s="210"/>
      <c r="H4" s="209"/>
      <c r="I4" s="210"/>
      <c r="J4" s="211"/>
      <c r="K4" s="208">
        <v>1184237.9935999999</v>
      </c>
      <c r="L4" s="211"/>
      <c r="M4" s="212">
        <f t="shared" ref="M4:M51" si="0">SUM(E4+K4)</f>
        <v>1285570.4464</v>
      </c>
      <c r="N4" s="213">
        <v>1647400</v>
      </c>
      <c r="P4" s="214">
        <f>N4-M4</f>
        <v>361829.55359999998</v>
      </c>
      <c r="Q4" s="215"/>
      <c r="R4" s="211"/>
      <c r="S4" s="215">
        <v>2533628.16</v>
      </c>
      <c r="T4" s="216">
        <v>12458000</v>
      </c>
      <c r="U4" s="206">
        <f t="shared" ref="U4:U42" si="1">N4*1000</f>
        <v>1647400000</v>
      </c>
      <c r="V4" s="217">
        <f>U4/T4</f>
        <v>132.2363140150907</v>
      </c>
      <c r="W4" s="206">
        <f>U4-(U4*0.3)</f>
        <v>1153180000</v>
      </c>
      <c r="X4" s="218">
        <f>W4/T4</f>
        <v>92.565419810563498</v>
      </c>
      <c r="Z4" s="219">
        <v>56.62225076256221</v>
      </c>
      <c r="AB4" s="325"/>
      <c r="AC4" s="326"/>
    </row>
    <row r="5" spans="1:29" x14ac:dyDescent="0.3">
      <c r="A5" s="220" t="s">
        <v>1</v>
      </c>
      <c r="B5" s="221">
        <v>65226.529600000002</v>
      </c>
      <c r="C5" s="221">
        <v>10069.742400000001</v>
      </c>
      <c r="D5" s="222">
        <v>46538.539200000007</v>
      </c>
      <c r="E5" s="223">
        <f t="shared" ref="E5:E51" si="2">SUM(B5:D5)</f>
        <v>121834.8112</v>
      </c>
      <c r="F5" s="224"/>
      <c r="G5" s="225"/>
      <c r="H5" s="224"/>
      <c r="I5" s="225"/>
      <c r="J5" s="226"/>
      <c r="K5" s="223">
        <v>1166003.5952000001</v>
      </c>
      <c r="L5" s="226"/>
      <c r="M5" s="227">
        <f t="shared" si="0"/>
        <v>1287838.4064000002</v>
      </c>
      <c r="N5" s="228">
        <v>1658300</v>
      </c>
      <c r="P5" s="228">
        <f>N5-M5</f>
        <v>370461.59359999979</v>
      </c>
      <c r="Q5" s="229"/>
      <c r="R5" s="226"/>
      <c r="S5" s="229">
        <v>2541430.08</v>
      </c>
      <c r="T5" s="230">
        <v>12716000</v>
      </c>
      <c r="U5" s="221">
        <f t="shared" si="1"/>
        <v>1658300000</v>
      </c>
      <c r="V5" s="231">
        <f>U5/T5</f>
        <v>130.41050644856873</v>
      </c>
      <c r="W5" s="221">
        <f t="shared" ref="W5:W68" si="3">U5-(U5*0.3)</f>
        <v>1160810000</v>
      </c>
      <c r="X5" s="232">
        <f t="shared" ref="X5:X68" si="4">W5/T5</f>
        <v>91.28735451399811</v>
      </c>
      <c r="Z5" s="233">
        <v>61.725385341302299</v>
      </c>
      <c r="AB5" s="323"/>
      <c r="AC5" s="324"/>
    </row>
    <row r="6" spans="1:29" x14ac:dyDescent="0.3">
      <c r="A6" s="220" t="s">
        <v>2</v>
      </c>
      <c r="B6" s="221">
        <v>59964.862399999998</v>
      </c>
      <c r="C6" s="221">
        <v>5987.4144000000006</v>
      </c>
      <c r="D6" s="222">
        <v>47990.033600000002</v>
      </c>
      <c r="E6" s="223">
        <f t="shared" si="2"/>
        <v>113942.31039999999</v>
      </c>
      <c r="F6" s="224"/>
      <c r="G6" s="225"/>
      <c r="H6" s="224"/>
      <c r="I6" s="225"/>
      <c r="J6" s="226"/>
      <c r="K6" s="223">
        <v>1125089.5967999999</v>
      </c>
      <c r="L6" s="226"/>
      <c r="M6" s="227">
        <f t="shared" si="0"/>
        <v>1239031.9072</v>
      </c>
      <c r="N6" s="228">
        <v>1743600</v>
      </c>
      <c r="P6" s="228">
        <f>N6-M6</f>
        <v>504568.09279999998</v>
      </c>
      <c r="Q6" s="229"/>
      <c r="R6" s="226"/>
      <c r="S6" s="229">
        <v>2765236.32</v>
      </c>
      <c r="T6" s="230">
        <v>13040000</v>
      </c>
      <c r="U6" s="221">
        <f t="shared" si="1"/>
        <v>1743600000</v>
      </c>
      <c r="V6" s="231">
        <f t="shared" ref="V6:V67" si="5">U6/T6</f>
        <v>133.71165644171779</v>
      </c>
      <c r="W6" s="221">
        <f t="shared" si="3"/>
        <v>1220520000</v>
      </c>
      <c r="X6" s="232">
        <f t="shared" si="4"/>
        <v>93.598159509202461</v>
      </c>
      <c r="Z6" s="233">
        <v>61.95552147239264</v>
      </c>
      <c r="AB6" s="323"/>
      <c r="AC6" s="324"/>
    </row>
    <row r="7" spans="1:29" x14ac:dyDescent="0.3">
      <c r="A7" s="220" t="s">
        <v>3</v>
      </c>
      <c r="B7" s="221">
        <v>57696.902399999999</v>
      </c>
      <c r="C7" s="221">
        <v>6894.5984000000008</v>
      </c>
      <c r="D7" s="222">
        <v>56880.436799999996</v>
      </c>
      <c r="E7" s="223">
        <f t="shared" si="2"/>
        <v>121471.9376</v>
      </c>
      <c r="F7" s="224"/>
      <c r="G7" s="225"/>
      <c r="H7" s="224"/>
      <c r="I7" s="225"/>
      <c r="J7" s="226"/>
      <c r="K7" s="223">
        <v>987016.19200000004</v>
      </c>
      <c r="L7" s="226"/>
      <c r="M7" s="227">
        <f t="shared" si="0"/>
        <v>1108488.1296000001</v>
      </c>
      <c r="N7" s="228">
        <v>1635700</v>
      </c>
      <c r="P7" s="228">
        <f t="shared" ref="P7:P51" si="6">N7-M7</f>
        <v>527211.8703999999</v>
      </c>
      <c r="Q7" s="229"/>
      <c r="R7" s="226"/>
      <c r="S7" s="229">
        <v>2592959.04</v>
      </c>
      <c r="T7" s="230">
        <v>13376000</v>
      </c>
      <c r="U7" s="221">
        <f t="shared" si="1"/>
        <v>1635700000</v>
      </c>
      <c r="V7" s="231">
        <f t="shared" si="5"/>
        <v>122.28618421052632</v>
      </c>
      <c r="W7" s="221">
        <f t="shared" si="3"/>
        <v>1144990000</v>
      </c>
      <c r="X7" s="232">
        <f t="shared" si="4"/>
        <v>85.600328947368425</v>
      </c>
      <c r="Z7" s="233">
        <v>61.872009569377994</v>
      </c>
      <c r="AB7" s="323"/>
      <c r="AC7" s="324"/>
    </row>
    <row r="8" spans="1:29" x14ac:dyDescent="0.3">
      <c r="A8" s="220" t="s">
        <v>4</v>
      </c>
      <c r="B8" s="221">
        <v>57696.902399999999</v>
      </c>
      <c r="C8" s="221">
        <v>6894.5984000000008</v>
      </c>
      <c r="D8" s="222">
        <v>56880.436799999996</v>
      </c>
      <c r="E8" s="223">
        <f t="shared" si="2"/>
        <v>121471.9376</v>
      </c>
      <c r="F8" s="224"/>
      <c r="G8" s="225"/>
      <c r="H8" s="224"/>
      <c r="I8" s="225"/>
      <c r="J8" s="226"/>
      <c r="K8" s="223">
        <v>987016.19200000004</v>
      </c>
      <c r="L8" s="226"/>
      <c r="M8" s="227">
        <f t="shared" si="0"/>
        <v>1108488.1296000001</v>
      </c>
      <c r="N8" s="228">
        <v>1602100</v>
      </c>
      <c r="P8" s="228">
        <f t="shared" si="6"/>
        <v>493611.8703999999</v>
      </c>
      <c r="Q8" s="229"/>
      <c r="R8" s="226"/>
      <c r="S8" s="229">
        <v>2473843.6800000002</v>
      </c>
      <c r="T8" s="230">
        <v>13717000</v>
      </c>
      <c r="U8" s="221">
        <f t="shared" si="1"/>
        <v>1602100000</v>
      </c>
      <c r="V8" s="231">
        <f t="shared" si="5"/>
        <v>116.7966756579427</v>
      </c>
      <c r="W8" s="221">
        <f t="shared" si="3"/>
        <v>1121470000</v>
      </c>
      <c r="X8" s="232">
        <f t="shared" si="4"/>
        <v>81.757672960559887</v>
      </c>
      <c r="Z8" s="233">
        <v>58.321790478967706</v>
      </c>
      <c r="AB8" s="323"/>
      <c r="AC8" s="324"/>
    </row>
    <row r="9" spans="1:29" x14ac:dyDescent="0.3">
      <c r="A9" s="220" t="s">
        <v>15</v>
      </c>
      <c r="B9" s="221">
        <v>56699</v>
      </c>
      <c r="C9" s="221">
        <v>18052.961600000002</v>
      </c>
      <c r="D9" s="222">
        <v>55973.252799999995</v>
      </c>
      <c r="E9" s="223">
        <f t="shared" si="2"/>
        <v>130725.2144</v>
      </c>
      <c r="F9" s="224"/>
      <c r="G9" s="225"/>
      <c r="H9" s="224"/>
      <c r="I9" s="225"/>
      <c r="J9" s="226"/>
      <c r="K9" s="223">
        <v>1187685.2927999999</v>
      </c>
      <c r="L9" s="226"/>
      <c r="M9" s="227">
        <f t="shared" si="0"/>
        <v>1318410.5071999999</v>
      </c>
      <c r="N9" s="228">
        <v>1809800</v>
      </c>
      <c r="P9" s="228">
        <f t="shared" si="6"/>
        <v>491389.49280000012</v>
      </c>
      <c r="Q9" s="229"/>
      <c r="R9" s="226"/>
      <c r="S9" s="229">
        <v>2747364.48</v>
      </c>
      <c r="T9" s="230">
        <v>14067000</v>
      </c>
      <c r="U9" s="221">
        <f t="shared" si="1"/>
        <v>1809800000</v>
      </c>
      <c r="V9" s="231">
        <f t="shared" si="5"/>
        <v>128.65571905879008</v>
      </c>
      <c r="W9" s="221">
        <f t="shared" si="3"/>
        <v>1266860000</v>
      </c>
      <c r="X9" s="232">
        <f t="shared" si="4"/>
        <v>90.059003341153058</v>
      </c>
      <c r="Z9" s="233">
        <v>59.50095969289827</v>
      </c>
      <c r="AB9" s="323"/>
      <c r="AC9" s="324"/>
    </row>
    <row r="10" spans="1:29" x14ac:dyDescent="0.3">
      <c r="A10" s="220" t="s">
        <v>16</v>
      </c>
      <c r="B10" s="221">
        <v>59601.988799999999</v>
      </c>
      <c r="C10" s="221">
        <v>21046.668799999999</v>
      </c>
      <c r="D10" s="222">
        <v>60781.328000000001</v>
      </c>
      <c r="E10" s="223">
        <f t="shared" si="2"/>
        <v>141429.98560000001</v>
      </c>
      <c r="F10" s="224"/>
      <c r="G10" s="225"/>
      <c r="H10" s="224"/>
      <c r="I10" s="225"/>
      <c r="J10" s="226"/>
      <c r="K10" s="223">
        <v>1279855.1872</v>
      </c>
      <c r="L10" s="226"/>
      <c r="M10" s="227">
        <f t="shared" si="0"/>
        <v>1421285.1728000001</v>
      </c>
      <c r="N10" s="228">
        <v>1846100</v>
      </c>
      <c r="P10" s="228">
        <f t="shared" si="6"/>
        <v>424814.82719999994</v>
      </c>
      <c r="Q10" s="229"/>
      <c r="R10" s="226"/>
      <c r="S10" s="229">
        <v>2838447.36</v>
      </c>
      <c r="T10" s="230">
        <v>14421000</v>
      </c>
      <c r="U10" s="221">
        <f t="shared" si="1"/>
        <v>1846100000</v>
      </c>
      <c r="V10" s="231">
        <f t="shared" si="5"/>
        <v>128.01470078357951</v>
      </c>
      <c r="W10" s="221">
        <f t="shared" si="3"/>
        <v>1292270000</v>
      </c>
      <c r="X10" s="232">
        <f t="shared" si="4"/>
        <v>89.610290548505645</v>
      </c>
      <c r="Z10" s="233">
        <v>61.493655086332431</v>
      </c>
      <c r="AB10" s="323"/>
      <c r="AC10" s="324"/>
    </row>
    <row r="11" spans="1:29" x14ac:dyDescent="0.3">
      <c r="A11" s="220" t="s">
        <v>17</v>
      </c>
      <c r="B11" s="221">
        <v>59148.396799999995</v>
      </c>
      <c r="C11" s="221">
        <v>24584.686399999999</v>
      </c>
      <c r="D11" s="222">
        <v>59964.862399999998</v>
      </c>
      <c r="E11" s="223">
        <f t="shared" si="2"/>
        <v>143697.94559999998</v>
      </c>
      <c r="F11" s="224"/>
      <c r="G11" s="225"/>
      <c r="H11" s="224"/>
      <c r="I11" s="225"/>
      <c r="J11" s="226"/>
      <c r="K11" s="223">
        <v>1316596.1392000001</v>
      </c>
      <c r="L11" s="226"/>
      <c r="M11" s="227">
        <f t="shared" si="0"/>
        <v>1460294.0848000001</v>
      </c>
      <c r="N11" s="228">
        <v>1808000</v>
      </c>
      <c r="P11" s="228">
        <f t="shared" si="6"/>
        <v>347705.91519999993</v>
      </c>
      <c r="Q11" s="229"/>
      <c r="R11" s="226"/>
      <c r="S11" s="229">
        <v>2796534.72</v>
      </c>
      <c r="T11" s="230">
        <v>14786000</v>
      </c>
      <c r="U11" s="221">
        <f t="shared" si="1"/>
        <v>1808000000</v>
      </c>
      <c r="V11" s="231">
        <f t="shared" si="5"/>
        <v>122.27783038008927</v>
      </c>
      <c r="W11" s="221">
        <f t="shared" si="3"/>
        <v>1265600000</v>
      </c>
      <c r="X11" s="232">
        <f t="shared" si="4"/>
        <v>85.594481266062488</v>
      </c>
      <c r="Z11" s="233">
        <v>58.670363857703229</v>
      </c>
      <c r="AB11" s="323"/>
      <c r="AC11" s="324"/>
    </row>
    <row r="12" spans="1:29" x14ac:dyDescent="0.3">
      <c r="A12" s="220" t="s">
        <v>18</v>
      </c>
      <c r="B12" s="221">
        <v>54975.350399999996</v>
      </c>
      <c r="C12" s="221">
        <v>26308.335999999999</v>
      </c>
      <c r="D12" s="222">
        <v>64591.500799999994</v>
      </c>
      <c r="E12" s="223">
        <f t="shared" si="2"/>
        <v>145875.18719999999</v>
      </c>
      <c r="F12" s="224"/>
      <c r="G12" s="225"/>
      <c r="H12" s="224"/>
      <c r="I12" s="225"/>
      <c r="J12" s="226"/>
      <c r="K12" s="223">
        <v>1276317.1695999999</v>
      </c>
      <c r="L12" s="226"/>
      <c r="M12" s="227">
        <f t="shared" si="0"/>
        <v>1422192.3568</v>
      </c>
      <c r="N12" s="228">
        <v>2021200</v>
      </c>
      <c r="P12" s="228">
        <f t="shared" si="6"/>
        <v>599007.64320000005</v>
      </c>
      <c r="Q12" s="229"/>
      <c r="R12" s="226"/>
      <c r="S12" s="229">
        <v>2938511.52</v>
      </c>
      <c r="T12" s="230">
        <v>15160000</v>
      </c>
      <c r="U12" s="221">
        <f t="shared" si="1"/>
        <v>2021200000</v>
      </c>
      <c r="V12" s="231">
        <f t="shared" si="5"/>
        <v>133.32453825857519</v>
      </c>
      <c r="W12" s="221">
        <f t="shared" si="3"/>
        <v>1414840000</v>
      </c>
      <c r="X12" s="232">
        <f t="shared" si="4"/>
        <v>93.327176781002635</v>
      </c>
      <c r="Z12" s="233">
        <v>59.670184696569919</v>
      </c>
      <c r="AB12" s="323"/>
      <c r="AC12" s="324"/>
    </row>
    <row r="13" spans="1:29" x14ac:dyDescent="0.3">
      <c r="A13" s="220" t="s">
        <v>19</v>
      </c>
      <c r="B13" s="221">
        <v>53977.447999999997</v>
      </c>
      <c r="C13" s="221">
        <v>31479.284800000001</v>
      </c>
      <c r="D13" s="222">
        <v>69671.731200000009</v>
      </c>
      <c r="E13" s="223">
        <f t="shared" si="2"/>
        <v>155128.46400000001</v>
      </c>
      <c r="F13" s="224"/>
      <c r="G13" s="225"/>
      <c r="H13" s="224"/>
      <c r="I13" s="225"/>
      <c r="J13" s="226"/>
      <c r="K13" s="223">
        <v>1430175.5759999999</v>
      </c>
      <c r="L13" s="226"/>
      <c r="M13" s="227">
        <f t="shared" si="0"/>
        <v>1585304.0399999998</v>
      </c>
      <c r="N13" s="228">
        <v>2051100</v>
      </c>
      <c r="P13" s="228">
        <f t="shared" si="6"/>
        <v>465795.9600000002</v>
      </c>
      <c r="Q13" s="229"/>
      <c r="R13" s="226"/>
      <c r="S13" s="229">
        <v>3118590.72</v>
      </c>
      <c r="T13" s="230">
        <v>15546000</v>
      </c>
      <c r="U13" s="221">
        <f t="shared" si="1"/>
        <v>2051100000</v>
      </c>
      <c r="V13" s="231">
        <f t="shared" si="5"/>
        <v>131.93747587803938</v>
      </c>
      <c r="W13" s="221">
        <f t="shared" si="3"/>
        <v>1435770000</v>
      </c>
      <c r="X13" s="232">
        <f t="shared" si="4"/>
        <v>92.356233114627557</v>
      </c>
      <c r="Z13" s="233">
        <v>59.867490029589604</v>
      </c>
      <c r="AB13" s="323"/>
      <c r="AC13" s="324"/>
    </row>
    <row r="14" spans="1:29" x14ac:dyDescent="0.3">
      <c r="A14" s="220" t="s">
        <v>20</v>
      </c>
      <c r="B14" s="221">
        <v>49350.809600000001</v>
      </c>
      <c r="C14" s="221">
        <v>22316.7264</v>
      </c>
      <c r="D14" s="222">
        <v>68310.955199999997</v>
      </c>
      <c r="E14" s="223">
        <f t="shared" si="2"/>
        <v>139978.49119999999</v>
      </c>
      <c r="F14" s="224"/>
      <c r="G14" s="225"/>
      <c r="H14" s="224"/>
      <c r="I14" s="225"/>
      <c r="J14" s="226"/>
      <c r="K14" s="223">
        <v>1443148.3072000002</v>
      </c>
      <c r="L14" s="226"/>
      <c r="M14" s="227">
        <f t="shared" si="0"/>
        <v>1583126.7984000002</v>
      </c>
      <c r="N14" s="228">
        <v>2014000</v>
      </c>
      <c r="P14" s="228">
        <f t="shared" si="6"/>
        <v>430873.2015999998</v>
      </c>
      <c r="Q14" s="229"/>
      <c r="R14" s="226"/>
      <c r="S14" s="229">
        <v>3094277.76</v>
      </c>
      <c r="T14" s="230">
        <v>15938000</v>
      </c>
      <c r="U14" s="221">
        <f t="shared" si="1"/>
        <v>2014000000</v>
      </c>
      <c r="V14" s="231">
        <f t="shared" si="5"/>
        <v>126.3646630693939</v>
      </c>
      <c r="W14" s="221">
        <f t="shared" si="3"/>
        <v>1409800000</v>
      </c>
      <c r="X14" s="232">
        <f t="shared" si="4"/>
        <v>88.455264148575736</v>
      </c>
      <c r="Z14" s="233">
        <v>57.058602083071904</v>
      </c>
      <c r="AB14" s="323"/>
      <c r="AC14" s="324"/>
    </row>
    <row r="15" spans="1:29" x14ac:dyDescent="0.3">
      <c r="A15" s="220" t="s">
        <v>21</v>
      </c>
      <c r="B15" s="221">
        <v>44724.171200000004</v>
      </c>
      <c r="C15" s="221">
        <v>21409.542399999998</v>
      </c>
      <c r="D15" s="222">
        <v>72937.593599999993</v>
      </c>
      <c r="E15" s="223">
        <f t="shared" si="2"/>
        <v>139071.30719999998</v>
      </c>
      <c r="F15" s="234">
        <v>386460.38400000002</v>
      </c>
      <c r="G15" s="221">
        <v>382196.61920000002</v>
      </c>
      <c r="H15" s="234"/>
      <c r="I15" s="221">
        <v>371764.00319999998</v>
      </c>
      <c r="J15" s="222">
        <v>121834.8112</v>
      </c>
      <c r="K15" s="223">
        <f>SUM(F15:J15)</f>
        <v>1262255.8176000002</v>
      </c>
      <c r="L15" s="235"/>
      <c r="M15" s="227">
        <f t="shared" si="0"/>
        <v>1401327.1248000001</v>
      </c>
      <c r="N15" s="228">
        <v>2054800</v>
      </c>
      <c r="P15" s="228">
        <f t="shared" si="6"/>
        <v>653472.87519999989</v>
      </c>
      <c r="Q15" s="229"/>
      <c r="R15" s="226"/>
      <c r="S15" s="229">
        <v>3285243.36</v>
      </c>
      <c r="T15" s="230">
        <v>16297000</v>
      </c>
      <c r="U15" s="221">
        <f t="shared" si="1"/>
        <v>2054800000</v>
      </c>
      <c r="V15" s="231">
        <f t="shared" si="5"/>
        <v>126.08455543965147</v>
      </c>
      <c r="W15" s="221">
        <f t="shared" si="3"/>
        <v>1438360000</v>
      </c>
      <c r="X15" s="232">
        <f t="shared" si="4"/>
        <v>88.259188807756033</v>
      </c>
      <c r="Z15" s="233">
        <v>55.427379272258698</v>
      </c>
      <c r="AB15" s="323"/>
      <c r="AC15" s="324"/>
    </row>
    <row r="16" spans="1:29" x14ac:dyDescent="0.3">
      <c r="A16" s="220" t="s">
        <v>22</v>
      </c>
      <c r="B16" s="221">
        <v>46175.6656</v>
      </c>
      <c r="C16" s="221">
        <v>25582.588800000001</v>
      </c>
      <c r="D16" s="222">
        <v>76657.047999999995</v>
      </c>
      <c r="E16" s="223">
        <f t="shared" si="2"/>
        <v>148415.30239999999</v>
      </c>
      <c r="F16" s="234">
        <v>363780.78399999999</v>
      </c>
      <c r="G16" s="221">
        <v>379021.47519999999</v>
      </c>
      <c r="H16" s="234"/>
      <c r="I16" s="221">
        <v>349900.8688</v>
      </c>
      <c r="J16" s="222">
        <v>113670.15520000001</v>
      </c>
      <c r="K16" s="223">
        <f t="shared" ref="K16:K51" si="7">SUM(F16:J16)</f>
        <v>1206373.2831999999</v>
      </c>
      <c r="L16" s="235"/>
      <c r="M16" s="227">
        <f t="shared" si="0"/>
        <v>1354788.5855999999</v>
      </c>
      <c r="N16" s="228">
        <v>2017600</v>
      </c>
      <c r="P16" s="228">
        <f t="shared" si="6"/>
        <v>662811.41440000013</v>
      </c>
      <c r="Q16" s="229"/>
      <c r="R16" s="226"/>
      <c r="S16" s="229">
        <v>3199600</v>
      </c>
      <c r="T16" s="230">
        <v>16664000</v>
      </c>
      <c r="U16" s="221">
        <f t="shared" si="1"/>
        <v>2017600000</v>
      </c>
      <c r="V16" s="231">
        <f t="shared" si="5"/>
        <v>121.07537205952953</v>
      </c>
      <c r="W16" s="221">
        <f t="shared" si="3"/>
        <v>1412320000</v>
      </c>
      <c r="X16" s="232">
        <f t="shared" si="4"/>
        <v>84.752760441670674</v>
      </c>
      <c r="Z16" s="233">
        <v>55.106817090734516</v>
      </c>
      <c r="AB16" s="323"/>
      <c r="AC16" s="324"/>
    </row>
    <row r="17" spans="1:29" x14ac:dyDescent="0.3">
      <c r="A17" s="220" t="s">
        <v>23</v>
      </c>
      <c r="B17" s="221">
        <v>46901.412799999998</v>
      </c>
      <c r="C17" s="221">
        <v>38192.446400000001</v>
      </c>
      <c r="D17" s="222">
        <v>83460.928</v>
      </c>
      <c r="E17" s="223">
        <f t="shared" si="2"/>
        <v>168554.78720000002</v>
      </c>
      <c r="F17" s="234">
        <v>421024.0944</v>
      </c>
      <c r="G17" s="221">
        <v>450870.44799999997</v>
      </c>
      <c r="H17" s="234"/>
      <c r="I17" s="221">
        <v>338107.4768</v>
      </c>
      <c r="J17" s="222">
        <v>98610.900800000003</v>
      </c>
      <c r="K17" s="223">
        <f t="shared" si="7"/>
        <v>1308612.92</v>
      </c>
      <c r="L17" s="235"/>
      <c r="M17" s="227">
        <f t="shared" si="0"/>
        <v>1477167.7072000001</v>
      </c>
      <c r="N17" s="228">
        <v>2192700</v>
      </c>
      <c r="P17" s="228">
        <f t="shared" si="6"/>
        <v>715532.29279999994</v>
      </c>
      <c r="Q17" s="229"/>
      <c r="R17" s="226"/>
      <c r="S17" s="229">
        <v>3452700</v>
      </c>
      <c r="T17" s="230">
        <v>17057000</v>
      </c>
      <c r="U17" s="221">
        <f t="shared" si="1"/>
        <v>2192700000</v>
      </c>
      <c r="V17" s="231">
        <f t="shared" si="5"/>
        <v>128.55132790056868</v>
      </c>
      <c r="W17" s="221">
        <f t="shared" si="3"/>
        <v>1534890000</v>
      </c>
      <c r="X17" s="232">
        <f t="shared" si="4"/>
        <v>89.985929530398082</v>
      </c>
      <c r="Z17" s="233">
        <v>57.108518496804834</v>
      </c>
      <c r="AB17" s="323"/>
      <c r="AC17" s="324"/>
    </row>
    <row r="18" spans="1:29" x14ac:dyDescent="0.3">
      <c r="A18" s="220" t="s">
        <v>24</v>
      </c>
      <c r="B18" s="221">
        <v>46175.6656</v>
      </c>
      <c r="C18" s="221">
        <v>49985.838400000001</v>
      </c>
      <c r="D18" s="222">
        <v>90899.83679999999</v>
      </c>
      <c r="E18" s="223">
        <f t="shared" si="2"/>
        <v>187061.34080000001</v>
      </c>
      <c r="F18" s="234">
        <v>472370.70880000002</v>
      </c>
      <c r="G18" s="221">
        <v>473550.04800000001</v>
      </c>
      <c r="H18" s="234"/>
      <c r="I18" s="221">
        <v>316697.93439999997</v>
      </c>
      <c r="J18" s="222">
        <v>100788.14240000001</v>
      </c>
      <c r="K18" s="223">
        <f t="shared" si="7"/>
        <v>1363406.8336</v>
      </c>
      <c r="L18" s="235"/>
      <c r="M18" s="227">
        <f t="shared" si="0"/>
        <v>1550468.1743999999</v>
      </c>
      <c r="N18" s="228">
        <v>2384100</v>
      </c>
      <c r="P18" s="228">
        <f t="shared" si="6"/>
        <v>833631.8256000001</v>
      </c>
      <c r="Q18" s="229"/>
      <c r="R18" s="226"/>
      <c r="S18" s="229">
        <v>3656000</v>
      </c>
      <c r="T18" s="230">
        <v>17474000</v>
      </c>
      <c r="U18" s="221">
        <f t="shared" si="1"/>
        <v>2384100000</v>
      </c>
      <c r="V18" s="231">
        <f t="shared" si="5"/>
        <v>136.43699210255235</v>
      </c>
      <c r="W18" s="221">
        <f t="shared" si="3"/>
        <v>1668870000</v>
      </c>
      <c r="X18" s="232">
        <f t="shared" si="4"/>
        <v>95.505894471786661</v>
      </c>
      <c r="Z18" s="233">
        <v>58.263706077601007</v>
      </c>
      <c r="AB18" s="323"/>
      <c r="AC18" s="324"/>
    </row>
    <row r="19" spans="1:29" x14ac:dyDescent="0.3">
      <c r="A19" s="220" t="s">
        <v>25</v>
      </c>
      <c r="B19" s="221">
        <v>45903.510399999999</v>
      </c>
      <c r="C19" s="221">
        <v>53070.264000000003</v>
      </c>
      <c r="D19" s="222">
        <v>100788.14240000001</v>
      </c>
      <c r="E19" s="223">
        <f t="shared" si="2"/>
        <v>199761.91680000001</v>
      </c>
      <c r="F19" s="234">
        <v>522537.984</v>
      </c>
      <c r="G19" s="221">
        <v>510563.15519999998</v>
      </c>
      <c r="H19" s="234"/>
      <c r="I19" s="221">
        <v>343187.7072</v>
      </c>
      <c r="J19" s="222">
        <v>108952.7984</v>
      </c>
      <c r="K19" s="223">
        <f t="shared" si="7"/>
        <v>1485241.6447999999</v>
      </c>
      <c r="L19" s="235"/>
      <c r="M19" s="227">
        <f t="shared" si="0"/>
        <v>1685003.5615999999</v>
      </c>
      <c r="N19" s="228">
        <v>2466600</v>
      </c>
      <c r="P19" s="228">
        <f t="shared" si="6"/>
        <v>781596.4384000001</v>
      </c>
      <c r="Q19" s="229"/>
      <c r="R19" s="226"/>
      <c r="S19" s="229">
        <v>3870100</v>
      </c>
      <c r="T19" s="230">
        <v>17867000</v>
      </c>
      <c r="U19" s="221">
        <f t="shared" si="1"/>
        <v>2466600000</v>
      </c>
      <c r="V19" s="231">
        <f t="shared" si="5"/>
        <v>138.05339452622152</v>
      </c>
      <c r="W19" s="221">
        <f t="shared" si="3"/>
        <v>1726620000</v>
      </c>
      <c r="X19" s="232">
        <f t="shared" si="4"/>
        <v>96.637376168355061</v>
      </c>
      <c r="Z19" s="233">
        <v>60.866401746236079</v>
      </c>
      <c r="AB19" s="323"/>
      <c r="AC19" s="324"/>
    </row>
    <row r="20" spans="1:29" x14ac:dyDescent="0.3">
      <c r="A20" s="220" t="s">
        <v>26</v>
      </c>
      <c r="B20" s="221">
        <v>39825.3776</v>
      </c>
      <c r="C20" s="221">
        <v>57878.339200000002</v>
      </c>
      <c r="D20" s="222">
        <v>108680.64320000001</v>
      </c>
      <c r="E20" s="223">
        <f t="shared" si="2"/>
        <v>206384.36</v>
      </c>
      <c r="F20" s="234">
        <v>575971.12160000007</v>
      </c>
      <c r="G20" s="221">
        <v>524170.91519999999</v>
      </c>
      <c r="H20" s="234"/>
      <c r="I20" s="221">
        <v>339649.68960000004</v>
      </c>
      <c r="J20" s="222">
        <v>114758.776</v>
      </c>
      <c r="K20" s="223">
        <f t="shared" si="7"/>
        <v>1554550.5024000001</v>
      </c>
      <c r="L20" s="235"/>
      <c r="M20" s="227">
        <f t="shared" si="0"/>
        <v>1760934.8624</v>
      </c>
      <c r="N20" s="228">
        <v>2495000</v>
      </c>
      <c r="P20" s="228">
        <f>N20-M20</f>
        <v>734065.13760000002</v>
      </c>
      <c r="Q20" s="229"/>
      <c r="R20" s="226" t="s">
        <v>207</v>
      </c>
      <c r="S20" s="229">
        <v>4156000</v>
      </c>
      <c r="T20" s="230">
        <v>18298000</v>
      </c>
      <c r="U20" s="221">
        <f t="shared" si="1"/>
        <v>2495000000</v>
      </c>
      <c r="V20" s="231">
        <f t="shared" si="5"/>
        <v>136.35369985790797</v>
      </c>
      <c r="W20" s="221">
        <f t="shared" si="3"/>
        <v>1746500000</v>
      </c>
      <c r="X20" s="232">
        <f t="shared" si="4"/>
        <v>95.447589900535576</v>
      </c>
      <c r="Z20" s="233">
        <v>73.395999562793747</v>
      </c>
      <c r="AB20" s="323"/>
      <c r="AC20" s="324"/>
    </row>
    <row r="21" spans="1:29" x14ac:dyDescent="0.3">
      <c r="A21" s="220" t="s">
        <v>27</v>
      </c>
      <c r="B21" s="221">
        <v>36000</v>
      </c>
      <c r="C21" s="221">
        <v>63000</v>
      </c>
      <c r="D21" s="222">
        <v>106000</v>
      </c>
      <c r="E21" s="223">
        <f t="shared" si="2"/>
        <v>205000</v>
      </c>
      <c r="F21" s="234">
        <v>654000</v>
      </c>
      <c r="G21" s="221">
        <v>528000</v>
      </c>
      <c r="H21" s="234"/>
      <c r="I21" s="221">
        <v>338000</v>
      </c>
      <c r="J21" s="222">
        <v>112000</v>
      </c>
      <c r="K21" s="223">
        <f t="shared" si="7"/>
        <v>1632000</v>
      </c>
      <c r="L21" s="235"/>
      <c r="M21" s="227">
        <f t="shared" si="0"/>
        <v>1837000</v>
      </c>
      <c r="N21" s="228">
        <v>2466000</v>
      </c>
      <c r="P21" s="228">
        <f t="shared" si="6"/>
        <v>629000</v>
      </c>
      <c r="Q21" s="229"/>
      <c r="R21" s="226"/>
      <c r="S21" s="229">
        <v>4211000</v>
      </c>
      <c r="T21" s="230">
        <v>18733000</v>
      </c>
      <c r="U21" s="221">
        <f t="shared" si="1"/>
        <v>2466000000</v>
      </c>
      <c r="V21" s="231">
        <f t="shared" si="5"/>
        <v>131.63935301339882</v>
      </c>
      <c r="W21" s="221">
        <f t="shared" si="3"/>
        <v>1726200000</v>
      </c>
      <c r="X21" s="232">
        <f t="shared" si="4"/>
        <v>92.147547109379175</v>
      </c>
      <c r="Z21" s="233">
        <v>51.353226925746007</v>
      </c>
      <c r="AB21" s="323"/>
      <c r="AC21" s="324"/>
    </row>
    <row r="22" spans="1:29" x14ac:dyDescent="0.3">
      <c r="A22" s="220" t="s">
        <v>28</v>
      </c>
      <c r="B22" s="221">
        <v>38000</v>
      </c>
      <c r="C22" s="221">
        <v>77000</v>
      </c>
      <c r="D22" s="222">
        <v>111000</v>
      </c>
      <c r="E22" s="223">
        <f t="shared" si="2"/>
        <v>226000</v>
      </c>
      <c r="F22" s="234">
        <v>581000</v>
      </c>
      <c r="G22" s="221">
        <v>545000</v>
      </c>
      <c r="H22" s="234"/>
      <c r="I22" s="221">
        <v>300000</v>
      </c>
      <c r="J22" s="222">
        <v>109000</v>
      </c>
      <c r="K22" s="223">
        <f t="shared" si="7"/>
        <v>1535000</v>
      </c>
      <c r="L22" s="235"/>
      <c r="M22" s="227">
        <f t="shared" si="0"/>
        <v>1761000</v>
      </c>
      <c r="N22" s="228">
        <v>2549000</v>
      </c>
      <c r="P22" s="228">
        <f t="shared" si="6"/>
        <v>788000</v>
      </c>
      <c r="Q22" s="229"/>
      <c r="R22" s="226"/>
      <c r="S22" s="229">
        <v>4193000</v>
      </c>
      <c r="T22" s="230">
        <v>19167000</v>
      </c>
      <c r="U22" s="221">
        <f t="shared" si="1"/>
        <v>2549000000</v>
      </c>
      <c r="V22" s="231">
        <f t="shared" si="5"/>
        <v>132.98899149580006</v>
      </c>
      <c r="W22" s="221">
        <f t="shared" si="3"/>
        <v>1784300000</v>
      </c>
      <c r="X22" s="232">
        <f t="shared" si="4"/>
        <v>93.092294047060051</v>
      </c>
      <c r="Z22" s="233">
        <v>64.120623989148015</v>
      </c>
      <c r="AB22" s="323"/>
      <c r="AC22" s="324"/>
    </row>
    <row r="23" spans="1:29" x14ac:dyDescent="0.3">
      <c r="A23" s="220" t="s">
        <v>29</v>
      </c>
      <c r="B23" s="221">
        <v>39000</v>
      </c>
      <c r="C23" s="221">
        <v>82000</v>
      </c>
      <c r="D23" s="222">
        <v>128000</v>
      </c>
      <c r="E23" s="223">
        <f t="shared" si="2"/>
        <v>249000</v>
      </c>
      <c r="F23" s="234">
        <v>701000</v>
      </c>
      <c r="G23" s="221">
        <v>662000</v>
      </c>
      <c r="H23" s="234"/>
      <c r="I23" s="221">
        <v>320000</v>
      </c>
      <c r="J23" s="222">
        <v>128000</v>
      </c>
      <c r="K23" s="223">
        <f t="shared" si="7"/>
        <v>1811000</v>
      </c>
      <c r="L23" s="235"/>
      <c r="M23" s="227">
        <f t="shared" si="0"/>
        <v>2060000</v>
      </c>
      <c r="N23" s="228">
        <v>2695000</v>
      </c>
      <c r="P23" s="228">
        <f t="shared" si="6"/>
        <v>635000</v>
      </c>
      <c r="Q23" s="229"/>
      <c r="R23" s="226"/>
      <c r="S23" s="229">
        <v>4649000</v>
      </c>
      <c r="T23" s="230">
        <v>19618000</v>
      </c>
      <c r="U23" s="221">
        <f t="shared" si="1"/>
        <v>2695000000</v>
      </c>
      <c r="V23" s="231">
        <f t="shared" si="5"/>
        <v>137.37384035069834</v>
      </c>
      <c r="W23" s="221">
        <f t="shared" si="3"/>
        <v>1886500000</v>
      </c>
      <c r="X23" s="232">
        <f t="shared" si="4"/>
        <v>96.161688245488833</v>
      </c>
      <c r="Z23" s="233">
        <v>63.716994596798855</v>
      </c>
      <c r="AB23" s="323"/>
      <c r="AC23" s="324"/>
    </row>
    <row r="24" spans="1:29" x14ac:dyDescent="0.3">
      <c r="A24" s="220" t="s">
        <v>30</v>
      </c>
      <c r="B24" s="221">
        <v>38000</v>
      </c>
      <c r="C24" s="221">
        <v>85000</v>
      </c>
      <c r="D24" s="222">
        <v>130000</v>
      </c>
      <c r="E24" s="223">
        <f t="shared" si="2"/>
        <v>253000</v>
      </c>
      <c r="F24" s="234">
        <v>640000</v>
      </c>
      <c r="G24" s="221">
        <v>698000</v>
      </c>
      <c r="H24" s="234"/>
      <c r="I24" s="221">
        <v>305000</v>
      </c>
      <c r="J24" s="222">
        <v>136000</v>
      </c>
      <c r="K24" s="223">
        <f t="shared" si="7"/>
        <v>1779000</v>
      </c>
      <c r="L24" s="235"/>
      <c r="M24" s="227">
        <f t="shared" si="0"/>
        <v>2032000</v>
      </c>
      <c r="N24" s="228">
        <v>2696000</v>
      </c>
      <c r="P24" s="228">
        <f t="shared" si="6"/>
        <v>664000</v>
      </c>
      <c r="Q24" s="226"/>
      <c r="R24" s="226"/>
      <c r="S24" s="229">
        <v>4846000</v>
      </c>
      <c r="T24" s="230">
        <v>19211000</v>
      </c>
      <c r="U24" s="221">
        <f t="shared" si="1"/>
        <v>2696000000</v>
      </c>
      <c r="V24" s="231">
        <f t="shared" si="5"/>
        <v>140.33626568112018</v>
      </c>
      <c r="W24" s="221">
        <f t="shared" si="3"/>
        <v>1887200000</v>
      </c>
      <c r="X24" s="232">
        <f t="shared" si="4"/>
        <v>98.23538597678413</v>
      </c>
      <c r="Z24" s="233">
        <v>74.800895320389358</v>
      </c>
      <c r="AB24" s="323"/>
      <c r="AC24" s="324"/>
    </row>
    <row r="25" spans="1:29" x14ac:dyDescent="0.3">
      <c r="A25" s="220" t="s">
        <v>31</v>
      </c>
      <c r="B25" s="221">
        <v>36000</v>
      </c>
      <c r="C25" s="221">
        <v>83000</v>
      </c>
      <c r="D25" s="222">
        <v>128000</v>
      </c>
      <c r="E25" s="223">
        <f t="shared" si="2"/>
        <v>247000</v>
      </c>
      <c r="F25" s="234">
        <v>1074000</v>
      </c>
      <c r="G25" s="221">
        <v>339000</v>
      </c>
      <c r="H25" s="234"/>
      <c r="I25" s="221">
        <v>367000</v>
      </c>
      <c r="J25" s="222">
        <v>103000</v>
      </c>
      <c r="K25" s="223">
        <f t="shared" si="7"/>
        <v>1883000</v>
      </c>
      <c r="L25" s="235"/>
      <c r="M25" s="227">
        <f t="shared" si="0"/>
        <v>2130000</v>
      </c>
      <c r="N25" s="228">
        <v>2658000</v>
      </c>
      <c r="P25" s="228">
        <f t="shared" si="6"/>
        <v>528000</v>
      </c>
      <c r="Q25" s="226"/>
      <c r="R25" s="226"/>
      <c r="S25" s="229">
        <v>5104000</v>
      </c>
      <c r="T25" s="230">
        <v>19640000</v>
      </c>
      <c r="U25" s="221">
        <f t="shared" si="1"/>
        <v>2658000000</v>
      </c>
      <c r="V25" s="231">
        <f t="shared" si="5"/>
        <v>135.33604887983708</v>
      </c>
      <c r="W25" s="221">
        <f t="shared" si="3"/>
        <v>1860600000</v>
      </c>
      <c r="X25" s="232">
        <f t="shared" si="4"/>
        <v>94.735234215885953</v>
      </c>
      <c r="Z25" s="233">
        <v>59.317718940936864</v>
      </c>
      <c r="AB25" s="323"/>
      <c r="AC25" s="324"/>
    </row>
    <row r="26" spans="1:29" x14ac:dyDescent="0.3">
      <c r="A26" s="220" t="s">
        <v>32</v>
      </c>
      <c r="B26" s="221">
        <v>36000</v>
      </c>
      <c r="C26" s="221">
        <v>89000</v>
      </c>
      <c r="D26" s="222">
        <v>119000</v>
      </c>
      <c r="E26" s="223">
        <f t="shared" si="2"/>
        <v>244000</v>
      </c>
      <c r="F26" s="234">
        <v>889000</v>
      </c>
      <c r="G26" s="221">
        <v>500000</v>
      </c>
      <c r="H26" s="234"/>
      <c r="I26" s="221">
        <v>293000</v>
      </c>
      <c r="J26" s="222">
        <v>124000</v>
      </c>
      <c r="K26" s="223">
        <f t="shared" si="7"/>
        <v>1806000</v>
      </c>
      <c r="L26" s="235"/>
      <c r="M26" s="227">
        <f t="shared" si="0"/>
        <v>2050000</v>
      </c>
      <c r="N26" s="228">
        <v>2722000</v>
      </c>
      <c r="P26" s="228">
        <f t="shared" si="6"/>
        <v>672000</v>
      </c>
      <c r="Q26" s="226"/>
      <c r="R26" s="226"/>
      <c r="S26" s="229">
        <v>4824000</v>
      </c>
      <c r="T26" s="230">
        <v>20080000</v>
      </c>
      <c r="U26" s="221">
        <f t="shared" si="1"/>
        <v>2722000000</v>
      </c>
      <c r="V26" s="231">
        <f t="shared" si="5"/>
        <v>135.55776892430279</v>
      </c>
      <c r="W26" s="221">
        <f t="shared" si="3"/>
        <v>1905400000</v>
      </c>
      <c r="X26" s="232">
        <f t="shared" si="4"/>
        <v>94.890438247011957</v>
      </c>
      <c r="Z26" s="233">
        <v>69.820717131474098</v>
      </c>
      <c r="AB26" s="323"/>
      <c r="AC26" s="324"/>
    </row>
    <row r="27" spans="1:29" x14ac:dyDescent="0.3">
      <c r="A27" s="220" t="s">
        <v>33</v>
      </c>
      <c r="B27" s="221">
        <v>39000</v>
      </c>
      <c r="C27" s="221">
        <v>102000</v>
      </c>
      <c r="D27" s="222">
        <v>139000</v>
      </c>
      <c r="E27" s="223">
        <f t="shared" si="2"/>
        <v>280000</v>
      </c>
      <c r="F27" s="234">
        <v>810000</v>
      </c>
      <c r="G27" s="221">
        <v>546000</v>
      </c>
      <c r="H27" s="234"/>
      <c r="I27" s="221">
        <v>254000</v>
      </c>
      <c r="J27" s="222">
        <v>144000</v>
      </c>
      <c r="K27" s="223">
        <f t="shared" si="7"/>
        <v>1754000</v>
      </c>
      <c r="L27" s="235"/>
      <c r="M27" s="227">
        <f t="shared" si="0"/>
        <v>2034000</v>
      </c>
      <c r="N27" s="228">
        <v>2759000</v>
      </c>
      <c r="P27" s="228">
        <f t="shared" si="6"/>
        <v>725000</v>
      </c>
      <c r="Q27" s="226"/>
      <c r="R27" s="226"/>
      <c r="S27" s="229">
        <v>5164000</v>
      </c>
      <c r="T27" s="230">
        <v>20524000</v>
      </c>
      <c r="U27" s="221">
        <f t="shared" si="1"/>
        <v>2759000000</v>
      </c>
      <c r="V27" s="231">
        <f t="shared" si="5"/>
        <v>134.42798674722277</v>
      </c>
      <c r="W27" s="221">
        <f t="shared" si="3"/>
        <v>1931300000</v>
      </c>
      <c r="X27" s="232">
        <f t="shared" si="4"/>
        <v>94.09959072305594</v>
      </c>
      <c r="Z27" s="233">
        <v>62.755798090040926</v>
      </c>
      <c r="AB27" s="323"/>
      <c r="AC27" s="324"/>
    </row>
    <row r="28" spans="1:29" x14ac:dyDescent="0.3">
      <c r="A28" s="220" t="s">
        <v>34</v>
      </c>
      <c r="B28" s="221">
        <v>42000</v>
      </c>
      <c r="C28" s="221">
        <v>104000</v>
      </c>
      <c r="D28" s="222">
        <v>153000</v>
      </c>
      <c r="E28" s="223">
        <f t="shared" si="2"/>
        <v>299000</v>
      </c>
      <c r="F28" s="234">
        <v>929000</v>
      </c>
      <c r="G28" s="221">
        <v>570000</v>
      </c>
      <c r="H28" s="234"/>
      <c r="I28" s="221">
        <v>293000</v>
      </c>
      <c r="J28" s="222">
        <v>97000</v>
      </c>
      <c r="K28" s="223">
        <f t="shared" si="7"/>
        <v>1889000</v>
      </c>
      <c r="L28" s="235"/>
      <c r="M28" s="227">
        <f t="shared" si="0"/>
        <v>2188000</v>
      </c>
      <c r="N28" s="228">
        <v>2573000</v>
      </c>
      <c r="P28" s="228">
        <f t="shared" si="6"/>
        <v>385000</v>
      </c>
      <c r="Q28" s="226"/>
      <c r="R28" s="226"/>
      <c r="S28" s="229">
        <v>5157000</v>
      </c>
      <c r="T28" s="230">
        <v>20980000</v>
      </c>
      <c r="U28" s="221">
        <f t="shared" si="1"/>
        <v>2573000000</v>
      </c>
      <c r="V28" s="231">
        <f t="shared" si="5"/>
        <v>122.64061010486178</v>
      </c>
      <c r="W28" s="221">
        <f t="shared" si="3"/>
        <v>1801100000</v>
      </c>
      <c r="X28" s="232">
        <f t="shared" si="4"/>
        <v>85.848427073403244</v>
      </c>
      <c r="Z28" s="233">
        <v>70.686367969494754</v>
      </c>
      <c r="AB28" s="323"/>
      <c r="AC28" s="324"/>
    </row>
    <row r="29" spans="1:29" x14ac:dyDescent="0.3">
      <c r="A29" s="220" t="s">
        <v>35</v>
      </c>
      <c r="B29" s="221">
        <v>48000</v>
      </c>
      <c r="C29" s="221">
        <v>111000</v>
      </c>
      <c r="D29" s="222">
        <v>159000</v>
      </c>
      <c r="E29" s="223">
        <f t="shared" si="2"/>
        <v>318000</v>
      </c>
      <c r="F29" s="234">
        <v>895000</v>
      </c>
      <c r="G29" s="221">
        <v>586000</v>
      </c>
      <c r="H29" s="234"/>
      <c r="I29" s="221">
        <v>250000</v>
      </c>
      <c r="J29" s="222">
        <v>74000</v>
      </c>
      <c r="K29" s="223">
        <f t="shared" si="7"/>
        <v>1805000</v>
      </c>
      <c r="L29" s="235"/>
      <c r="M29" s="227">
        <f t="shared" si="0"/>
        <v>2123000</v>
      </c>
      <c r="N29" s="228">
        <v>2878000</v>
      </c>
      <c r="P29" s="228">
        <f t="shared" si="6"/>
        <v>755000</v>
      </c>
      <c r="Q29" s="226"/>
      <c r="R29" s="226"/>
      <c r="S29" s="229">
        <v>5774000</v>
      </c>
      <c r="T29" s="230">
        <v>21447000</v>
      </c>
      <c r="U29" s="221">
        <f t="shared" si="1"/>
        <v>2878000000</v>
      </c>
      <c r="V29" s="231">
        <f t="shared" si="5"/>
        <v>134.19126218119084</v>
      </c>
      <c r="W29" s="221">
        <f t="shared" si="3"/>
        <v>2014600000</v>
      </c>
      <c r="X29" s="232">
        <f t="shared" si="4"/>
        <v>93.933883526833583</v>
      </c>
      <c r="Z29" s="233">
        <v>75.162027323168743</v>
      </c>
      <c r="AB29" s="323"/>
      <c r="AC29" s="324"/>
    </row>
    <row r="30" spans="1:29" x14ac:dyDescent="0.3">
      <c r="A30" s="220" t="s">
        <v>36</v>
      </c>
      <c r="B30" s="221">
        <v>49000</v>
      </c>
      <c r="C30" s="221">
        <v>111000</v>
      </c>
      <c r="D30" s="222">
        <v>160000</v>
      </c>
      <c r="E30" s="223">
        <f t="shared" si="2"/>
        <v>320000</v>
      </c>
      <c r="F30" s="234">
        <v>915000</v>
      </c>
      <c r="G30" s="221">
        <v>617000</v>
      </c>
      <c r="H30" s="234">
        <v>131000</v>
      </c>
      <c r="I30" s="221">
        <v>266000</v>
      </c>
      <c r="J30" s="222">
        <v>196000</v>
      </c>
      <c r="K30" s="223">
        <f t="shared" si="7"/>
        <v>2125000</v>
      </c>
      <c r="L30" s="235"/>
      <c r="M30" s="227">
        <f t="shared" si="0"/>
        <v>2445000</v>
      </c>
      <c r="N30" s="228">
        <v>2897000</v>
      </c>
      <c r="P30" s="228">
        <f t="shared" si="6"/>
        <v>452000</v>
      </c>
      <c r="Q30" s="226"/>
      <c r="R30" s="226"/>
      <c r="S30" s="229">
        <v>5828000</v>
      </c>
      <c r="T30" s="230">
        <v>21921000</v>
      </c>
      <c r="U30" s="221">
        <f t="shared" si="1"/>
        <v>2897000000</v>
      </c>
      <c r="V30" s="231">
        <f t="shared" si="5"/>
        <v>132.15637972720222</v>
      </c>
      <c r="W30" s="221">
        <f t="shared" si="3"/>
        <v>2027900000</v>
      </c>
      <c r="X30" s="232">
        <f t="shared" si="4"/>
        <v>92.509465809041558</v>
      </c>
      <c r="Z30" s="233">
        <v>77.961771816979152</v>
      </c>
      <c r="AB30" s="323"/>
      <c r="AC30" s="324"/>
    </row>
    <row r="31" spans="1:29" x14ac:dyDescent="0.3">
      <c r="A31" s="220" t="s">
        <v>37</v>
      </c>
      <c r="B31" s="221">
        <v>50000</v>
      </c>
      <c r="C31" s="221">
        <v>117000</v>
      </c>
      <c r="D31" s="222">
        <v>162000</v>
      </c>
      <c r="E31" s="223">
        <f t="shared" si="2"/>
        <v>329000</v>
      </c>
      <c r="F31" s="234">
        <v>965000</v>
      </c>
      <c r="G31" s="221">
        <v>638000</v>
      </c>
      <c r="H31" s="234">
        <v>163000</v>
      </c>
      <c r="I31" s="221">
        <v>278000</v>
      </c>
      <c r="J31" s="222">
        <v>224000</v>
      </c>
      <c r="K31" s="223">
        <f t="shared" si="7"/>
        <v>2268000</v>
      </c>
      <c r="L31" s="235"/>
      <c r="M31" s="227">
        <f t="shared" si="0"/>
        <v>2597000</v>
      </c>
      <c r="N31" s="228">
        <v>2988000</v>
      </c>
      <c r="P31" s="228">
        <f t="shared" si="6"/>
        <v>391000</v>
      </c>
      <c r="Q31" s="226"/>
      <c r="R31" s="226"/>
      <c r="S31" s="229">
        <v>5886000</v>
      </c>
      <c r="T31" s="230">
        <v>22410000</v>
      </c>
      <c r="U31" s="221">
        <f t="shared" si="1"/>
        <v>2988000000</v>
      </c>
      <c r="V31" s="231">
        <f t="shared" si="5"/>
        <v>133.33333333333334</v>
      </c>
      <c r="W31" s="221">
        <f t="shared" si="3"/>
        <v>2091600000</v>
      </c>
      <c r="X31" s="232">
        <f t="shared" si="4"/>
        <v>93.333333333333329</v>
      </c>
      <c r="Z31" s="233">
        <v>75.011155734047307</v>
      </c>
      <c r="AB31" s="323"/>
      <c r="AC31" s="324"/>
    </row>
    <row r="32" spans="1:29" x14ac:dyDescent="0.3">
      <c r="A32" s="220" t="s">
        <v>38</v>
      </c>
      <c r="B32" s="221">
        <v>56000</v>
      </c>
      <c r="C32" s="221">
        <v>136000</v>
      </c>
      <c r="D32" s="222">
        <v>171000</v>
      </c>
      <c r="E32" s="223">
        <f t="shared" si="2"/>
        <v>363000</v>
      </c>
      <c r="F32" s="234">
        <v>1017000</v>
      </c>
      <c r="G32" s="221">
        <v>699000</v>
      </c>
      <c r="H32" s="234">
        <v>211000</v>
      </c>
      <c r="I32" s="221">
        <v>293000</v>
      </c>
      <c r="J32" s="222">
        <v>33000</v>
      </c>
      <c r="K32" s="223">
        <f t="shared" si="7"/>
        <v>2253000</v>
      </c>
      <c r="L32" s="235"/>
      <c r="M32" s="227">
        <f t="shared" si="0"/>
        <v>2616000</v>
      </c>
      <c r="N32" s="228">
        <v>2844000</v>
      </c>
      <c r="P32" s="228">
        <f t="shared" si="6"/>
        <v>228000</v>
      </c>
      <c r="Q32" s="226"/>
      <c r="R32" s="226"/>
      <c r="S32" s="229">
        <v>5722000</v>
      </c>
      <c r="T32" s="230">
        <v>22907000</v>
      </c>
      <c r="U32" s="221">
        <f t="shared" si="1"/>
        <v>2844000000</v>
      </c>
      <c r="V32" s="231">
        <f t="shared" si="5"/>
        <v>124.15418867595058</v>
      </c>
      <c r="W32" s="221">
        <f t="shared" si="3"/>
        <v>1990800000</v>
      </c>
      <c r="X32" s="232">
        <f t="shared" si="4"/>
        <v>86.907932073165412</v>
      </c>
      <c r="Z32" s="233">
        <v>73.121753175885104</v>
      </c>
      <c r="AB32" s="323"/>
      <c r="AC32" s="324"/>
    </row>
    <row r="33" spans="1:29" x14ac:dyDescent="0.3">
      <c r="A33" s="220" t="s">
        <v>39</v>
      </c>
      <c r="B33" s="221">
        <v>55000</v>
      </c>
      <c r="C33" s="221">
        <v>146000</v>
      </c>
      <c r="D33" s="222">
        <v>172000</v>
      </c>
      <c r="E33" s="223">
        <f t="shared" si="2"/>
        <v>373000</v>
      </c>
      <c r="F33" s="234">
        <v>872000</v>
      </c>
      <c r="G33" s="221">
        <v>742000</v>
      </c>
      <c r="H33" s="234">
        <v>232000</v>
      </c>
      <c r="I33" s="221">
        <v>280000</v>
      </c>
      <c r="J33" s="222">
        <v>34000</v>
      </c>
      <c r="K33" s="223">
        <f t="shared" si="7"/>
        <v>2160000</v>
      </c>
      <c r="L33" s="235"/>
      <c r="M33" s="227">
        <f t="shared" si="0"/>
        <v>2533000</v>
      </c>
      <c r="N33" s="228">
        <v>2850000</v>
      </c>
      <c r="P33" s="228">
        <f>N33-M33</f>
        <v>317000</v>
      </c>
      <c r="Q33" s="226"/>
      <c r="R33" s="226"/>
      <c r="S33" s="229">
        <v>5194000</v>
      </c>
      <c r="T33" s="230">
        <v>23434000</v>
      </c>
      <c r="U33" s="221">
        <f t="shared" si="1"/>
        <v>2850000000</v>
      </c>
      <c r="V33" s="231">
        <f t="shared" si="5"/>
        <v>121.61816164547238</v>
      </c>
      <c r="W33" s="221">
        <f t="shared" si="3"/>
        <v>1995000000</v>
      </c>
      <c r="X33" s="232">
        <f t="shared" si="4"/>
        <v>85.132713151830671</v>
      </c>
      <c r="Z33" s="233">
        <v>81.206793547836483</v>
      </c>
      <c r="AB33" s="323"/>
      <c r="AC33" s="324"/>
    </row>
    <row r="34" spans="1:29" x14ac:dyDescent="0.3">
      <c r="A34" s="220" t="s">
        <v>40</v>
      </c>
      <c r="B34" s="221">
        <v>53000</v>
      </c>
      <c r="C34" s="221">
        <v>161000</v>
      </c>
      <c r="D34" s="222">
        <v>168000</v>
      </c>
      <c r="E34" s="223">
        <f t="shared" si="2"/>
        <v>382000</v>
      </c>
      <c r="F34" s="234">
        <v>915000</v>
      </c>
      <c r="G34" s="221">
        <v>809000</v>
      </c>
      <c r="H34" s="234">
        <v>249000</v>
      </c>
      <c r="I34" s="221">
        <v>283000</v>
      </c>
      <c r="J34" s="222">
        <v>14000</v>
      </c>
      <c r="K34" s="223">
        <f t="shared" si="7"/>
        <v>2270000</v>
      </c>
      <c r="L34" s="235"/>
      <c r="M34" s="227">
        <f t="shared" si="0"/>
        <v>2652000</v>
      </c>
      <c r="N34" s="228">
        <v>2973000</v>
      </c>
      <c r="P34" s="228">
        <f t="shared" si="6"/>
        <v>321000</v>
      </c>
      <c r="Q34" s="226"/>
      <c r="R34" s="226"/>
      <c r="S34" s="229">
        <v>5951000</v>
      </c>
      <c r="T34" s="230">
        <v>23994000</v>
      </c>
      <c r="U34" s="221">
        <f t="shared" si="1"/>
        <v>2973000000</v>
      </c>
      <c r="V34" s="231">
        <f t="shared" si="5"/>
        <v>123.90597649412354</v>
      </c>
      <c r="W34" s="221">
        <f t="shared" si="3"/>
        <v>2081100000</v>
      </c>
      <c r="X34" s="232">
        <f t="shared" si="4"/>
        <v>86.734183545886467</v>
      </c>
      <c r="Z34" s="233">
        <v>74.226890055847292</v>
      </c>
      <c r="AB34" s="323"/>
      <c r="AC34" s="324"/>
    </row>
    <row r="35" spans="1:29" x14ac:dyDescent="0.3">
      <c r="A35" s="220" t="s">
        <v>41</v>
      </c>
      <c r="B35" s="221">
        <v>50000</v>
      </c>
      <c r="C35" s="221">
        <v>159000</v>
      </c>
      <c r="D35" s="222">
        <v>174000</v>
      </c>
      <c r="E35" s="223">
        <f t="shared" si="2"/>
        <v>383000</v>
      </c>
      <c r="F35" s="234">
        <v>834000</v>
      </c>
      <c r="G35" s="221">
        <v>761000</v>
      </c>
      <c r="H35" s="234">
        <v>269000</v>
      </c>
      <c r="I35" s="221">
        <v>276000</v>
      </c>
      <c r="J35" s="222">
        <v>12000</v>
      </c>
      <c r="K35" s="223">
        <f t="shared" si="7"/>
        <v>2152000</v>
      </c>
      <c r="L35" s="235"/>
      <c r="M35" s="227">
        <f t="shared" si="0"/>
        <v>2535000</v>
      </c>
      <c r="N35" s="228">
        <v>2912000</v>
      </c>
      <c r="P35" s="228">
        <f t="shared" si="6"/>
        <v>377000</v>
      </c>
      <c r="Q35" s="226"/>
      <c r="R35" s="226"/>
      <c r="S35" s="229">
        <v>5841000</v>
      </c>
      <c r="T35" s="230">
        <v>24591000</v>
      </c>
      <c r="U35" s="221">
        <f t="shared" si="1"/>
        <v>2912000000</v>
      </c>
      <c r="V35" s="231">
        <f t="shared" si="5"/>
        <v>118.4173071448904</v>
      </c>
      <c r="W35" s="221">
        <f t="shared" si="3"/>
        <v>2038400000</v>
      </c>
      <c r="X35" s="232">
        <f t="shared" si="4"/>
        <v>82.892115001423278</v>
      </c>
      <c r="Z35" s="233">
        <v>82.55052661542841</v>
      </c>
      <c r="AB35" s="323"/>
      <c r="AC35" s="324"/>
    </row>
    <row r="36" spans="1:29" x14ac:dyDescent="0.3">
      <c r="A36" s="220" t="s">
        <v>42</v>
      </c>
      <c r="B36" s="221">
        <v>50000</v>
      </c>
      <c r="C36" s="221">
        <v>154000</v>
      </c>
      <c r="D36" s="222">
        <v>160000</v>
      </c>
      <c r="E36" s="223">
        <f t="shared" si="2"/>
        <v>364000</v>
      </c>
      <c r="F36" s="234">
        <v>778000</v>
      </c>
      <c r="G36" s="221">
        <v>798000</v>
      </c>
      <c r="H36" s="234">
        <v>306000</v>
      </c>
      <c r="I36" s="221">
        <v>257000</v>
      </c>
      <c r="J36" s="222">
        <v>22000</v>
      </c>
      <c r="K36" s="223">
        <f t="shared" si="7"/>
        <v>2161000</v>
      </c>
      <c r="L36" s="235"/>
      <c r="M36" s="227">
        <f t="shared" si="0"/>
        <v>2525000</v>
      </c>
      <c r="N36" s="228">
        <v>3136000</v>
      </c>
      <c r="P36" s="228">
        <f t="shared" si="6"/>
        <v>611000</v>
      </c>
      <c r="Q36" s="226"/>
      <c r="R36" s="226"/>
      <c r="S36" s="229">
        <v>6166000</v>
      </c>
      <c r="T36" s="230">
        <v>25215000</v>
      </c>
      <c r="U36" s="221">
        <f t="shared" si="1"/>
        <v>3136000000</v>
      </c>
      <c r="V36" s="231">
        <f t="shared" si="5"/>
        <v>124.37041443585167</v>
      </c>
      <c r="W36" s="221">
        <f t="shared" si="3"/>
        <v>2195200000</v>
      </c>
      <c r="X36" s="232">
        <f t="shared" si="4"/>
        <v>87.059290105096167</v>
      </c>
      <c r="Z36" s="233">
        <v>79.238548483045804</v>
      </c>
      <c r="AB36" s="323"/>
      <c r="AC36" s="324"/>
    </row>
    <row r="37" spans="1:29" x14ac:dyDescent="0.3">
      <c r="A37" s="220" t="s">
        <v>43</v>
      </c>
      <c r="B37" s="221">
        <v>49000</v>
      </c>
      <c r="C37" s="221">
        <v>148000</v>
      </c>
      <c r="D37" s="222">
        <v>165000</v>
      </c>
      <c r="E37" s="223">
        <f t="shared" si="2"/>
        <v>362000</v>
      </c>
      <c r="F37" s="234">
        <v>775000</v>
      </c>
      <c r="G37" s="221">
        <v>927000</v>
      </c>
      <c r="H37" s="234">
        <v>334000</v>
      </c>
      <c r="I37" s="221">
        <v>246000</v>
      </c>
      <c r="J37" s="222">
        <v>12000</v>
      </c>
      <c r="K37" s="223">
        <f t="shared" si="7"/>
        <v>2294000</v>
      </c>
      <c r="L37" s="235"/>
      <c r="M37" s="227">
        <f t="shared" si="0"/>
        <v>2656000</v>
      </c>
      <c r="N37" s="228">
        <v>3394000</v>
      </c>
      <c r="P37" s="228">
        <f t="shared" si="6"/>
        <v>738000</v>
      </c>
      <c r="Q37" s="226"/>
      <c r="R37" s="226"/>
      <c r="S37" s="229">
        <v>6509000</v>
      </c>
      <c r="T37" s="230">
        <v>25887000</v>
      </c>
      <c r="U37" s="221">
        <f t="shared" si="1"/>
        <v>3394000000</v>
      </c>
      <c r="V37" s="231">
        <f t="shared" si="5"/>
        <v>131.10827828639859</v>
      </c>
      <c r="W37" s="221">
        <f t="shared" si="3"/>
        <v>2375800000</v>
      </c>
      <c r="X37" s="232">
        <f t="shared" si="4"/>
        <v>91.775794800479005</v>
      </c>
      <c r="Z37" s="233">
        <v>76.602155522076714</v>
      </c>
      <c r="AB37" s="323"/>
      <c r="AC37" s="324"/>
    </row>
    <row r="38" spans="1:29" x14ac:dyDescent="0.3">
      <c r="A38" s="220" t="s">
        <v>44</v>
      </c>
      <c r="B38" s="221">
        <v>43000</v>
      </c>
      <c r="C38" s="221">
        <v>146000</v>
      </c>
      <c r="D38" s="222">
        <v>165000</v>
      </c>
      <c r="E38" s="223">
        <f t="shared" si="2"/>
        <v>354000</v>
      </c>
      <c r="F38" s="234">
        <v>779000</v>
      </c>
      <c r="G38" s="221">
        <v>931000</v>
      </c>
      <c r="H38" s="234">
        <v>295000</v>
      </c>
      <c r="I38" s="221">
        <v>255000</v>
      </c>
      <c r="J38" s="222">
        <v>15000</v>
      </c>
      <c r="K38" s="223">
        <f t="shared" si="7"/>
        <v>2275000</v>
      </c>
      <c r="L38" s="235"/>
      <c r="M38" s="227">
        <f t="shared" si="0"/>
        <v>2629000</v>
      </c>
      <c r="N38" s="228">
        <v>3251000</v>
      </c>
      <c r="P38" s="228">
        <f t="shared" si="6"/>
        <v>622000</v>
      </c>
      <c r="Q38" s="226"/>
      <c r="R38" s="226"/>
      <c r="S38" s="229">
        <v>6853000</v>
      </c>
      <c r="T38" s="230">
        <v>26564000</v>
      </c>
      <c r="U38" s="221">
        <f t="shared" si="1"/>
        <v>3251000000</v>
      </c>
      <c r="V38" s="231">
        <f t="shared" si="5"/>
        <v>122.38367715705466</v>
      </c>
      <c r="W38" s="221">
        <f t="shared" si="3"/>
        <v>2275700000</v>
      </c>
      <c r="X38" s="232">
        <f t="shared" si="4"/>
        <v>85.668574009938268</v>
      </c>
      <c r="Z38" s="233">
        <v>89.896099984942026</v>
      </c>
      <c r="AB38" s="323"/>
      <c r="AC38" s="324"/>
    </row>
    <row r="39" spans="1:29" x14ac:dyDescent="0.3">
      <c r="A39" s="220" t="s">
        <v>45</v>
      </c>
      <c r="B39" s="221">
        <v>36000</v>
      </c>
      <c r="C39" s="221">
        <v>144000</v>
      </c>
      <c r="D39" s="222">
        <v>152000</v>
      </c>
      <c r="E39" s="223">
        <f t="shared" si="2"/>
        <v>332000</v>
      </c>
      <c r="F39" s="234">
        <v>735000</v>
      </c>
      <c r="G39" s="221">
        <v>854000</v>
      </c>
      <c r="H39" s="234">
        <v>272000</v>
      </c>
      <c r="I39" s="221">
        <v>207000</v>
      </c>
      <c r="J39" s="222">
        <v>18000</v>
      </c>
      <c r="K39" s="223">
        <f t="shared" si="7"/>
        <v>2086000</v>
      </c>
      <c r="L39" s="235"/>
      <c r="M39" s="227">
        <f t="shared" si="0"/>
        <v>2418000</v>
      </c>
      <c r="N39" s="228">
        <v>2958000</v>
      </c>
      <c r="P39" s="228">
        <f t="shared" si="6"/>
        <v>540000</v>
      </c>
      <c r="Q39" s="226"/>
      <c r="R39" s="226" t="s">
        <v>208</v>
      </c>
      <c r="S39" s="229">
        <v>5833000</v>
      </c>
      <c r="T39" s="230">
        <v>27241000</v>
      </c>
      <c r="U39" s="221">
        <f t="shared" si="1"/>
        <v>2958000000</v>
      </c>
      <c r="V39" s="231">
        <f t="shared" si="5"/>
        <v>108.58632208802908</v>
      </c>
      <c r="W39" s="221">
        <f t="shared" si="3"/>
        <v>2070600000</v>
      </c>
      <c r="X39" s="232">
        <f t="shared" si="4"/>
        <v>76.010425461620358</v>
      </c>
      <c r="Z39" s="233">
        <v>81.935318086707539</v>
      </c>
      <c r="AB39" s="323"/>
      <c r="AC39" s="324"/>
    </row>
    <row r="40" spans="1:29" x14ac:dyDescent="0.3">
      <c r="A40" s="220" t="s">
        <v>46</v>
      </c>
      <c r="B40" s="221">
        <v>37000</v>
      </c>
      <c r="C40" s="221">
        <v>130000</v>
      </c>
      <c r="D40" s="222">
        <v>151000</v>
      </c>
      <c r="E40" s="223">
        <f t="shared" si="2"/>
        <v>318000</v>
      </c>
      <c r="F40" s="234">
        <v>749000</v>
      </c>
      <c r="G40" s="221">
        <v>900000</v>
      </c>
      <c r="H40" s="234">
        <v>293000</v>
      </c>
      <c r="I40" s="221">
        <v>227000</v>
      </c>
      <c r="J40" s="222">
        <v>12000</v>
      </c>
      <c r="K40" s="223">
        <f t="shared" si="7"/>
        <v>2181000</v>
      </c>
      <c r="L40" s="235"/>
      <c r="M40" s="227">
        <f t="shared" si="0"/>
        <v>2499000</v>
      </c>
      <c r="N40" s="228">
        <v>2590000</v>
      </c>
      <c r="P40" s="228">
        <f t="shared" si="6"/>
        <v>91000</v>
      </c>
      <c r="Q40" s="226"/>
      <c r="R40" s="226"/>
      <c r="S40" s="229">
        <v>5660000</v>
      </c>
      <c r="T40" s="230">
        <v>27916000</v>
      </c>
      <c r="U40" s="221">
        <f t="shared" si="1"/>
        <v>2590000000</v>
      </c>
      <c r="V40" s="231">
        <f t="shared" si="5"/>
        <v>92.778335005015052</v>
      </c>
      <c r="W40" s="221">
        <f t="shared" si="3"/>
        <v>1813000000</v>
      </c>
      <c r="X40" s="232">
        <f t="shared" si="4"/>
        <v>64.944834503510535</v>
      </c>
      <c r="Z40" s="233">
        <v>80.097435162630745</v>
      </c>
      <c r="AB40" s="323"/>
      <c r="AC40" s="324"/>
    </row>
    <row r="41" spans="1:29" x14ac:dyDescent="0.3">
      <c r="A41" s="220" t="s">
        <v>47</v>
      </c>
      <c r="B41" s="221">
        <v>31000</v>
      </c>
      <c r="C41" s="221">
        <v>134000</v>
      </c>
      <c r="D41" s="222">
        <v>122000</v>
      </c>
      <c r="E41" s="223">
        <f t="shared" si="2"/>
        <v>287000</v>
      </c>
      <c r="F41" s="234">
        <v>709000</v>
      </c>
      <c r="G41" s="221">
        <v>832000</v>
      </c>
      <c r="H41" s="234">
        <v>284000</v>
      </c>
      <c r="I41" s="221">
        <v>219000</v>
      </c>
      <c r="J41" s="222">
        <v>14000</v>
      </c>
      <c r="K41" s="223">
        <f>SUM(F41:J41)</f>
        <v>2058000</v>
      </c>
      <c r="L41" s="235"/>
      <c r="M41" s="227">
        <f t="shared" si="0"/>
        <v>2345000</v>
      </c>
      <c r="N41" s="228">
        <v>2457000</v>
      </c>
      <c r="P41" s="228">
        <f t="shared" si="6"/>
        <v>112000</v>
      </c>
      <c r="Q41" s="226"/>
      <c r="R41" s="226"/>
      <c r="S41" s="229">
        <v>5236000</v>
      </c>
      <c r="T41" s="230">
        <v>28587000</v>
      </c>
      <c r="U41" s="221">
        <f t="shared" si="1"/>
        <v>2457000000</v>
      </c>
      <c r="V41" s="231">
        <f t="shared" si="5"/>
        <v>85.9481582537517</v>
      </c>
      <c r="W41" s="221">
        <f t="shared" si="3"/>
        <v>1719900000</v>
      </c>
      <c r="X41" s="232">
        <f t="shared" si="4"/>
        <v>60.163710777626193</v>
      </c>
      <c r="Z41" s="233">
        <v>82.030293490047924</v>
      </c>
      <c r="AB41" s="323"/>
      <c r="AC41" s="324"/>
    </row>
    <row r="42" spans="1:29" x14ac:dyDescent="0.3">
      <c r="A42" s="220" t="s">
        <v>48</v>
      </c>
      <c r="B42" s="221">
        <v>27000</v>
      </c>
      <c r="C42" s="221">
        <v>125000</v>
      </c>
      <c r="D42" s="222">
        <v>128000</v>
      </c>
      <c r="E42" s="223">
        <f>SUM(B42:D42)</f>
        <v>280000</v>
      </c>
      <c r="F42" s="234">
        <v>668000</v>
      </c>
      <c r="G42" s="221">
        <v>870000</v>
      </c>
      <c r="H42" s="234">
        <v>334000</v>
      </c>
      <c r="I42" s="221">
        <v>215000</v>
      </c>
      <c r="J42" s="222">
        <v>12000</v>
      </c>
      <c r="K42" s="223">
        <f>SUM(F42:J42)</f>
        <v>2099000</v>
      </c>
      <c r="L42" s="235"/>
      <c r="M42" s="227">
        <f>SUM(E42+K42)</f>
        <v>2379000</v>
      </c>
      <c r="N42" s="228">
        <v>2446000</v>
      </c>
      <c r="P42" s="228">
        <f t="shared" si="6"/>
        <v>67000</v>
      </c>
      <c r="Q42" s="226"/>
      <c r="R42" s="226"/>
      <c r="S42" s="229">
        <v>5647000</v>
      </c>
      <c r="T42" s="236">
        <v>29249000</v>
      </c>
      <c r="U42" s="221">
        <f t="shared" si="1"/>
        <v>2446000000</v>
      </c>
      <c r="V42" s="231">
        <f t="shared" si="5"/>
        <v>83.626790659509723</v>
      </c>
      <c r="W42" s="221">
        <f t="shared" si="3"/>
        <v>1712200000</v>
      </c>
      <c r="X42" s="232">
        <f t="shared" si="4"/>
        <v>58.53875346165681</v>
      </c>
      <c r="Z42" s="233">
        <v>89.371226366713387</v>
      </c>
      <c r="AB42" s="323"/>
      <c r="AC42" s="324"/>
    </row>
    <row r="43" spans="1:29" x14ac:dyDescent="0.3">
      <c r="A43" s="220" t="s">
        <v>49</v>
      </c>
      <c r="B43" s="221">
        <v>22000</v>
      </c>
      <c r="C43" s="221">
        <v>143000</v>
      </c>
      <c r="D43" s="222">
        <v>117000</v>
      </c>
      <c r="E43" s="223">
        <f t="shared" si="2"/>
        <v>282000</v>
      </c>
      <c r="F43" s="234">
        <v>568000</v>
      </c>
      <c r="G43" s="221">
        <v>861000</v>
      </c>
      <c r="H43" s="234">
        <v>348000</v>
      </c>
      <c r="I43" s="221">
        <v>193000</v>
      </c>
      <c r="J43" s="222">
        <v>17000</v>
      </c>
      <c r="K43" s="223">
        <f t="shared" si="7"/>
        <v>1987000</v>
      </c>
      <c r="L43" s="235"/>
      <c r="M43" s="227">
        <f t="shared" si="0"/>
        <v>2269000</v>
      </c>
      <c r="N43" s="228">
        <v>2376000</v>
      </c>
      <c r="P43" s="228">
        <f t="shared" si="6"/>
        <v>107000</v>
      </c>
      <c r="Q43" s="226"/>
      <c r="R43" s="226"/>
      <c r="S43" s="229">
        <v>5801000</v>
      </c>
      <c r="T43" s="236">
        <v>29908000</v>
      </c>
      <c r="U43" s="221">
        <f>N43*1000</f>
        <v>2376000000</v>
      </c>
      <c r="V43" s="231">
        <f t="shared" si="5"/>
        <v>79.443627123177748</v>
      </c>
      <c r="W43" s="221">
        <f t="shared" si="3"/>
        <v>1663200000</v>
      </c>
      <c r="X43" s="232">
        <f t="shared" si="4"/>
        <v>55.610538986224419</v>
      </c>
      <c r="Z43" s="233">
        <v>78.573023940082919</v>
      </c>
      <c r="AB43" s="323"/>
      <c r="AC43" s="324"/>
    </row>
    <row r="44" spans="1:29" x14ac:dyDescent="0.3">
      <c r="A44" s="220" t="s">
        <v>50</v>
      </c>
      <c r="B44" s="221">
        <v>21000</v>
      </c>
      <c r="C44" s="221">
        <v>155000</v>
      </c>
      <c r="D44" s="222">
        <v>116000</v>
      </c>
      <c r="E44" s="223">
        <f t="shared" si="2"/>
        <v>292000</v>
      </c>
      <c r="F44" s="234">
        <v>529000</v>
      </c>
      <c r="G44" s="221">
        <v>902000</v>
      </c>
      <c r="H44" s="234">
        <v>385000</v>
      </c>
      <c r="I44" s="221">
        <v>176000</v>
      </c>
      <c r="J44" s="222">
        <v>10000</v>
      </c>
      <c r="K44" s="223">
        <f t="shared" si="7"/>
        <v>2002000</v>
      </c>
      <c r="L44" s="235"/>
      <c r="M44" s="227">
        <f t="shared" si="0"/>
        <v>2294000</v>
      </c>
      <c r="N44" s="228">
        <v>2353000</v>
      </c>
      <c r="P44" s="228">
        <f t="shared" si="6"/>
        <v>59000</v>
      </c>
      <c r="Q44" s="226"/>
      <c r="R44" s="226"/>
      <c r="S44" s="229">
        <v>6425000</v>
      </c>
      <c r="T44" s="236">
        <v>30575000</v>
      </c>
      <c r="U44" s="221">
        <f t="shared" ref="U44:U71" si="8">N44*1000</f>
        <v>2353000000</v>
      </c>
      <c r="V44" s="231">
        <f t="shared" si="5"/>
        <v>76.958299264104667</v>
      </c>
      <c r="W44" s="221">
        <f t="shared" si="3"/>
        <v>1647100000</v>
      </c>
      <c r="X44" s="232">
        <f t="shared" si="4"/>
        <v>53.870809484873263</v>
      </c>
      <c r="Z44" s="233">
        <v>75.467833197056422</v>
      </c>
      <c r="AB44" s="323"/>
      <c r="AC44" s="324"/>
    </row>
    <row r="45" spans="1:29" x14ac:dyDescent="0.3">
      <c r="A45" s="220" t="s">
        <v>51</v>
      </c>
      <c r="B45" s="221">
        <v>22000</v>
      </c>
      <c r="C45" s="221">
        <v>164000</v>
      </c>
      <c r="D45" s="222">
        <v>120000</v>
      </c>
      <c r="E45" s="223">
        <f>SUM(B45:D45)</f>
        <v>306000</v>
      </c>
      <c r="F45" s="234">
        <v>507000</v>
      </c>
      <c r="G45" s="221">
        <v>930000</v>
      </c>
      <c r="H45" s="234">
        <v>415000</v>
      </c>
      <c r="I45" s="221">
        <v>178000</v>
      </c>
      <c r="J45" s="222">
        <v>23000</v>
      </c>
      <c r="K45" s="223">
        <f t="shared" si="7"/>
        <v>2053000</v>
      </c>
      <c r="L45" s="235"/>
      <c r="M45" s="227">
        <f t="shared" si="0"/>
        <v>2359000</v>
      </c>
      <c r="N45" s="228">
        <v>2534000</v>
      </c>
      <c r="P45" s="228">
        <f>N45-M45</f>
        <v>175000</v>
      </c>
      <c r="Q45" s="226"/>
      <c r="R45" s="226"/>
      <c r="S45" s="229">
        <v>6769000</v>
      </c>
      <c r="T45" s="236">
        <v>36199000</v>
      </c>
      <c r="U45" s="221">
        <f t="shared" si="8"/>
        <v>2534000000</v>
      </c>
      <c r="V45" s="231">
        <f t="shared" si="5"/>
        <v>70.001933755076109</v>
      </c>
      <c r="W45" s="221">
        <f t="shared" si="3"/>
        <v>1773800000</v>
      </c>
      <c r="X45" s="232">
        <f t="shared" si="4"/>
        <v>49.001353628553275</v>
      </c>
      <c r="Z45" s="233">
        <v>60.051299759661866</v>
      </c>
      <c r="AB45" s="323"/>
      <c r="AC45" s="324"/>
    </row>
    <row r="46" spans="1:29" x14ac:dyDescent="0.3">
      <c r="A46" s="220" t="s">
        <v>52</v>
      </c>
      <c r="B46" s="221">
        <v>20000</v>
      </c>
      <c r="C46" s="221">
        <v>184000</v>
      </c>
      <c r="D46" s="222">
        <v>122000</v>
      </c>
      <c r="E46" s="223">
        <f t="shared" si="2"/>
        <v>326000</v>
      </c>
      <c r="F46" s="234">
        <v>515000</v>
      </c>
      <c r="G46" s="221">
        <v>954000</v>
      </c>
      <c r="H46" s="234">
        <v>447000</v>
      </c>
      <c r="I46" s="221">
        <v>176000</v>
      </c>
      <c r="J46" s="222">
        <v>17000</v>
      </c>
      <c r="K46" s="223">
        <f t="shared" si="7"/>
        <v>2109000</v>
      </c>
      <c r="L46" s="235"/>
      <c r="M46" s="227">
        <f t="shared" si="0"/>
        <v>2435000</v>
      </c>
      <c r="N46" s="228">
        <v>2567000</v>
      </c>
      <c r="P46" s="228">
        <f t="shared" si="6"/>
        <v>132000</v>
      </c>
      <c r="Q46" s="226"/>
      <c r="R46" s="226"/>
      <c r="S46" s="229">
        <v>7022000</v>
      </c>
      <c r="T46" s="236">
        <v>36992000</v>
      </c>
      <c r="U46" s="221">
        <f t="shared" si="8"/>
        <v>2567000000</v>
      </c>
      <c r="V46" s="231">
        <f t="shared" si="5"/>
        <v>69.393382352941174</v>
      </c>
      <c r="W46" s="221">
        <f t="shared" si="3"/>
        <v>1796900000</v>
      </c>
      <c r="X46" s="232">
        <f t="shared" si="4"/>
        <v>48.575367647058826</v>
      </c>
      <c r="Z46" s="233">
        <v>57.928876513840834</v>
      </c>
      <c r="AB46" s="323"/>
      <c r="AC46" s="324"/>
    </row>
    <row r="47" spans="1:29" x14ac:dyDescent="0.3">
      <c r="A47" s="220" t="s">
        <v>53</v>
      </c>
      <c r="B47" s="221">
        <v>22000</v>
      </c>
      <c r="C47" s="221">
        <v>185000</v>
      </c>
      <c r="D47" s="222">
        <v>128000</v>
      </c>
      <c r="E47" s="223">
        <f t="shared" si="2"/>
        <v>335000</v>
      </c>
      <c r="F47" s="234">
        <v>592000</v>
      </c>
      <c r="G47" s="221">
        <v>963000</v>
      </c>
      <c r="H47" s="234">
        <v>415000</v>
      </c>
      <c r="I47" s="221">
        <v>200000</v>
      </c>
      <c r="J47" s="222">
        <v>13000</v>
      </c>
      <c r="K47" s="223">
        <f t="shared" si="7"/>
        <v>2183000</v>
      </c>
      <c r="L47" s="235"/>
      <c r="M47" s="227">
        <f t="shared" si="0"/>
        <v>2518000</v>
      </c>
      <c r="N47" s="228">
        <v>2743000</v>
      </c>
      <c r="P47" s="228">
        <f t="shared" si="6"/>
        <v>225000</v>
      </c>
      <c r="Q47" s="226"/>
      <c r="R47" s="226"/>
      <c r="S47" s="229">
        <v>6828000</v>
      </c>
      <c r="T47" s="236">
        <v>37802000</v>
      </c>
      <c r="U47" s="221">
        <f t="shared" si="8"/>
        <v>2743000000</v>
      </c>
      <c r="V47" s="231">
        <f t="shared" si="5"/>
        <v>72.562298291095715</v>
      </c>
      <c r="W47" s="221">
        <f t="shared" si="3"/>
        <v>1920100000</v>
      </c>
      <c r="X47" s="232">
        <f t="shared" si="4"/>
        <v>50.793608803766993</v>
      </c>
      <c r="Z47" s="233">
        <v>56.409131791968676</v>
      </c>
      <c r="AB47" s="323"/>
      <c r="AC47" s="324"/>
    </row>
    <row r="48" spans="1:29" x14ac:dyDescent="0.3">
      <c r="A48" s="220" t="s">
        <v>54</v>
      </c>
      <c r="B48" s="221">
        <v>24000</v>
      </c>
      <c r="C48" s="221">
        <v>176000</v>
      </c>
      <c r="D48" s="222">
        <v>127000</v>
      </c>
      <c r="E48" s="223">
        <f t="shared" si="2"/>
        <v>327000</v>
      </c>
      <c r="F48" s="234">
        <v>620000</v>
      </c>
      <c r="G48" s="221">
        <v>971000</v>
      </c>
      <c r="H48" s="234">
        <v>448000</v>
      </c>
      <c r="I48" s="221">
        <v>173000</v>
      </c>
      <c r="J48" s="222">
        <v>11000</v>
      </c>
      <c r="K48" s="223">
        <f t="shared" si="7"/>
        <v>2223000</v>
      </c>
      <c r="L48" s="235"/>
      <c r="M48" s="227">
        <f t="shared" si="0"/>
        <v>2550000</v>
      </c>
      <c r="N48" s="228">
        <v>2918000</v>
      </c>
      <c r="P48" s="228">
        <f t="shared" si="6"/>
        <v>368000</v>
      </c>
      <c r="Q48" s="226"/>
      <c r="R48" s="226"/>
      <c r="S48" s="229">
        <v>6773000</v>
      </c>
      <c r="T48" s="236">
        <v>38631000</v>
      </c>
      <c r="U48" s="221">
        <f t="shared" si="8"/>
        <v>2918000000</v>
      </c>
      <c r="V48" s="231">
        <f t="shared" si="5"/>
        <v>75.535191944293445</v>
      </c>
      <c r="W48" s="221">
        <f t="shared" si="3"/>
        <v>2042600000</v>
      </c>
      <c r="X48" s="232">
        <f t="shared" si="4"/>
        <v>52.874634361005413</v>
      </c>
      <c r="Z48" s="233">
        <v>58.478967668452796</v>
      </c>
      <c r="AB48" s="323"/>
      <c r="AC48" s="324"/>
    </row>
    <row r="49" spans="1:29" x14ac:dyDescent="0.3">
      <c r="A49" s="220" t="s">
        <v>55</v>
      </c>
      <c r="B49" s="221">
        <v>29000</v>
      </c>
      <c r="C49" s="221">
        <v>141000</v>
      </c>
      <c r="D49" s="222">
        <v>105000</v>
      </c>
      <c r="E49" s="223">
        <f t="shared" si="2"/>
        <v>275000</v>
      </c>
      <c r="F49" s="234">
        <v>592000</v>
      </c>
      <c r="G49" s="221">
        <v>945000</v>
      </c>
      <c r="H49" s="234">
        <v>493000</v>
      </c>
      <c r="I49" s="221">
        <v>112000</v>
      </c>
      <c r="J49" s="222">
        <v>11000</v>
      </c>
      <c r="K49" s="223">
        <f t="shared" si="7"/>
        <v>2153000</v>
      </c>
      <c r="L49" s="235"/>
      <c r="M49" s="227">
        <f t="shared" si="0"/>
        <v>2428000</v>
      </c>
      <c r="N49" s="228">
        <v>2540000</v>
      </c>
      <c r="P49" s="228">
        <f t="shared" si="6"/>
        <v>112000</v>
      </c>
      <c r="Q49" s="226"/>
      <c r="R49" s="226"/>
      <c r="S49" s="229">
        <v>6417000</v>
      </c>
      <c r="T49" s="236">
        <v>39477000</v>
      </c>
      <c r="U49" s="221">
        <f t="shared" si="8"/>
        <v>2540000000</v>
      </c>
      <c r="V49" s="231">
        <f t="shared" si="5"/>
        <v>64.341262000658617</v>
      </c>
      <c r="W49" s="221">
        <f t="shared" si="3"/>
        <v>1778000000</v>
      </c>
      <c r="X49" s="232">
        <f t="shared" si="4"/>
        <v>45.038883400461025</v>
      </c>
      <c r="Z49" s="233">
        <v>59.605745117410137</v>
      </c>
      <c r="AB49" s="323"/>
      <c r="AC49" s="324"/>
    </row>
    <row r="50" spans="1:29" x14ac:dyDescent="0.3">
      <c r="A50" s="220" t="s">
        <v>56</v>
      </c>
      <c r="B50" s="221">
        <v>20000</v>
      </c>
      <c r="C50" s="221">
        <v>141000</v>
      </c>
      <c r="D50" s="222">
        <v>115000</v>
      </c>
      <c r="E50" s="223">
        <f t="shared" si="2"/>
        <v>276000</v>
      </c>
      <c r="F50" s="234">
        <v>548000</v>
      </c>
      <c r="G50" s="221">
        <v>936000</v>
      </c>
      <c r="H50" s="234">
        <v>508000</v>
      </c>
      <c r="I50" s="221">
        <v>117000</v>
      </c>
      <c r="J50" s="222">
        <v>19000</v>
      </c>
      <c r="K50" s="223">
        <f t="shared" si="7"/>
        <v>2128000</v>
      </c>
      <c r="L50" s="235"/>
      <c r="M50" s="227">
        <f t="shared" si="0"/>
        <v>2404000</v>
      </c>
      <c r="N50" s="228">
        <v>2807000</v>
      </c>
      <c r="P50" s="228">
        <f t="shared" si="6"/>
        <v>403000</v>
      </c>
      <c r="Q50" s="226"/>
      <c r="R50" s="226"/>
      <c r="S50" s="229">
        <v>6842000</v>
      </c>
      <c r="T50" s="236">
        <v>40584000</v>
      </c>
      <c r="U50" s="221">
        <f t="shared" si="8"/>
        <v>2807000000</v>
      </c>
      <c r="V50" s="231">
        <f t="shared" si="5"/>
        <v>69.165188251527695</v>
      </c>
      <c r="W50" s="221">
        <f t="shared" si="3"/>
        <v>1964900000</v>
      </c>
      <c r="X50" s="232">
        <f t="shared" si="4"/>
        <v>48.41563177606939</v>
      </c>
      <c r="Z50" s="233">
        <v>59.596515868322491</v>
      </c>
      <c r="AB50" s="323"/>
      <c r="AC50" s="324"/>
    </row>
    <row r="51" spans="1:29" x14ac:dyDescent="0.3">
      <c r="A51" s="220" t="s">
        <v>57</v>
      </c>
      <c r="B51" s="221">
        <v>20000</v>
      </c>
      <c r="C51" s="221">
        <v>101000</v>
      </c>
      <c r="D51" s="222">
        <v>105000</v>
      </c>
      <c r="E51" s="223">
        <f t="shared" si="2"/>
        <v>226000</v>
      </c>
      <c r="F51" s="234">
        <v>461000</v>
      </c>
      <c r="G51" s="221">
        <v>968000</v>
      </c>
      <c r="H51" s="234">
        <v>623000</v>
      </c>
      <c r="I51" s="221">
        <v>77000</v>
      </c>
      <c r="J51" s="222">
        <v>20000</v>
      </c>
      <c r="K51" s="223">
        <f t="shared" si="7"/>
        <v>2149000</v>
      </c>
      <c r="L51" s="235"/>
      <c r="M51" s="227">
        <f t="shared" si="0"/>
        <v>2375000</v>
      </c>
      <c r="N51" s="228">
        <v>2912000</v>
      </c>
      <c r="P51" s="228">
        <f t="shared" si="6"/>
        <v>537000</v>
      </c>
      <c r="Q51" s="226"/>
      <c r="R51" s="226"/>
      <c r="S51" s="229">
        <v>6738000</v>
      </c>
      <c r="T51" s="236">
        <v>41227000</v>
      </c>
      <c r="U51" s="221">
        <f t="shared" si="8"/>
        <v>2912000000</v>
      </c>
      <c r="V51" s="231">
        <f t="shared" si="5"/>
        <v>70.633322822422201</v>
      </c>
      <c r="W51" s="221">
        <f t="shared" si="3"/>
        <v>2038400000</v>
      </c>
      <c r="X51" s="232">
        <f t="shared" si="4"/>
        <v>49.443325975695537</v>
      </c>
      <c r="Z51" s="233">
        <v>62.206806219225264</v>
      </c>
      <c r="AB51" s="323"/>
      <c r="AC51" s="324"/>
    </row>
    <row r="52" spans="1:29" x14ac:dyDescent="0.3">
      <c r="A52" s="220" t="s">
        <v>188</v>
      </c>
      <c r="B52" s="221"/>
      <c r="C52" s="221"/>
      <c r="D52" s="222"/>
      <c r="E52" s="223"/>
      <c r="F52" s="234"/>
      <c r="G52" s="221"/>
      <c r="H52" s="234"/>
      <c r="I52" s="221"/>
      <c r="J52" s="222"/>
      <c r="K52" s="223"/>
      <c r="L52" s="229"/>
      <c r="M52" s="227"/>
      <c r="N52" s="228">
        <v>3410000</v>
      </c>
      <c r="P52" s="237"/>
      <c r="Q52" s="226"/>
      <c r="R52" s="226"/>
      <c r="S52" s="229">
        <v>6383000</v>
      </c>
      <c r="T52" s="236">
        <v>42131000</v>
      </c>
      <c r="U52" s="221">
        <f t="shared" si="8"/>
        <v>3410000000</v>
      </c>
      <c r="V52" s="231">
        <f t="shared" si="5"/>
        <v>80.938026631221661</v>
      </c>
      <c r="W52" s="221">
        <f t="shared" si="3"/>
        <v>2387000000</v>
      </c>
      <c r="X52" s="232">
        <f t="shared" si="4"/>
        <v>56.656618641855168</v>
      </c>
      <c r="Z52" s="233">
        <v>51.767107355628873</v>
      </c>
      <c r="AB52" s="323"/>
      <c r="AC52" s="324"/>
    </row>
    <row r="53" spans="1:29" x14ac:dyDescent="0.3">
      <c r="A53" s="220" t="s">
        <v>189</v>
      </c>
      <c r="B53" s="221"/>
      <c r="C53" s="221"/>
      <c r="D53" s="222"/>
      <c r="E53" s="223"/>
      <c r="F53" s="234"/>
      <c r="G53" s="221"/>
      <c r="H53" s="234"/>
      <c r="I53" s="221"/>
      <c r="J53" s="222"/>
      <c r="K53" s="223"/>
      <c r="L53" s="229"/>
      <c r="M53" s="227"/>
      <c r="N53" s="228">
        <v>3381000</v>
      </c>
      <c r="P53" s="237"/>
      <c r="Q53" s="226"/>
      <c r="R53" s="226"/>
      <c r="S53" s="229">
        <v>6341000</v>
      </c>
      <c r="T53" s="236">
        <v>43054000</v>
      </c>
      <c r="U53" s="221">
        <f t="shared" si="8"/>
        <v>3381000000</v>
      </c>
      <c r="V53" s="231">
        <f t="shared" si="5"/>
        <v>78.529288800111487</v>
      </c>
      <c r="W53" s="221">
        <f t="shared" si="3"/>
        <v>2366700000</v>
      </c>
      <c r="X53" s="232">
        <f t="shared" si="4"/>
        <v>54.970502160078041</v>
      </c>
      <c r="Z53" s="233">
        <v>55.743949458819159</v>
      </c>
      <c r="AB53" s="323"/>
      <c r="AC53" s="324"/>
    </row>
    <row r="54" spans="1:29" x14ac:dyDescent="0.3">
      <c r="A54" s="220" t="s">
        <v>190</v>
      </c>
      <c r="B54" s="221"/>
      <c r="C54" s="221"/>
      <c r="D54" s="222"/>
      <c r="E54" s="223"/>
      <c r="F54" s="234"/>
      <c r="G54" s="221"/>
      <c r="H54" s="234"/>
      <c r="I54" s="221"/>
      <c r="J54" s="222"/>
      <c r="K54" s="223"/>
      <c r="L54" s="229"/>
      <c r="M54" s="227"/>
      <c r="N54" s="228">
        <v>3426000</v>
      </c>
      <c r="P54" s="237"/>
      <c r="Q54" s="226"/>
      <c r="R54" s="226"/>
      <c r="S54" s="229">
        <v>6362000</v>
      </c>
      <c r="T54" s="236">
        <v>43686000</v>
      </c>
      <c r="U54" s="221">
        <f t="shared" si="8"/>
        <v>3426000000</v>
      </c>
      <c r="V54" s="231">
        <f t="shared" si="5"/>
        <v>78.423293503639613</v>
      </c>
      <c r="W54" s="221">
        <f t="shared" si="3"/>
        <v>2398200000</v>
      </c>
      <c r="X54" s="232">
        <f t="shared" si="4"/>
        <v>54.896305452547729</v>
      </c>
      <c r="Z54" s="233">
        <v>54.273680355262556</v>
      </c>
      <c r="AB54" s="323"/>
      <c r="AC54" s="324"/>
    </row>
    <row r="55" spans="1:29" x14ac:dyDescent="0.3">
      <c r="A55" s="238" t="s">
        <v>191</v>
      </c>
      <c r="B55" s="221"/>
      <c r="C55" s="221"/>
      <c r="D55" s="222"/>
      <c r="E55" s="223"/>
      <c r="F55" s="234"/>
      <c r="G55" s="221"/>
      <c r="H55" s="234"/>
      <c r="I55" s="221"/>
      <c r="J55" s="222"/>
      <c r="K55" s="223"/>
      <c r="L55" s="229"/>
      <c r="M55" s="227"/>
      <c r="N55" s="228">
        <v>3589000</v>
      </c>
      <c r="P55" s="237"/>
      <c r="Q55" s="226"/>
      <c r="R55" s="226"/>
      <c r="S55" s="229">
        <v>6852000</v>
      </c>
      <c r="T55" s="236">
        <v>44561000</v>
      </c>
      <c r="U55" s="221">
        <f t="shared" si="8"/>
        <v>3589000000</v>
      </c>
      <c r="V55" s="231">
        <f t="shared" si="5"/>
        <v>80.541280491909973</v>
      </c>
      <c r="W55" s="221">
        <f t="shared" si="3"/>
        <v>2512300000</v>
      </c>
      <c r="X55" s="232">
        <f t="shared" si="4"/>
        <v>56.378896344336979</v>
      </c>
      <c r="Z55" s="233">
        <v>54.464666412333656</v>
      </c>
      <c r="AB55" s="323"/>
      <c r="AC55" s="324"/>
    </row>
    <row r="56" spans="1:29" x14ac:dyDescent="0.3">
      <c r="A56" s="239" t="s">
        <v>192</v>
      </c>
      <c r="B56" s="221"/>
      <c r="C56" s="221"/>
      <c r="D56" s="222"/>
      <c r="E56" s="223"/>
      <c r="F56" s="234"/>
      <c r="G56" s="221"/>
      <c r="H56" s="234"/>
      <c r="I56" s="221"/>
      <c r="J56" s="222"/>
      <c r="K56" s="223"/>
      <c r="L56" s="229"/>
      <c r="M56" s="227"/>
      <c r="N56" s="228">
        <v>3877000</v>
      </c>
      <c r="P56" s="237"/>
      <c r="Q56" s="226"/>
      <c r="R56" s="226"/>
      <c r="S56" s="229">
        <v>7151000</v>
      </c>
      <c r="T56" s="236">
        <v>45454000</v>
      </c>
      <c r="U56" s="221">
        <f t="shared" si="8"/>
        <v>3877000000</v>
      </c>
      <c r="V56" s="231">
        <f t="shared" si="5"/>
        <v>85.295023540282486</v>
      </c>
      <c r="W56" s="221">
        <f t="shared" si="3"/>
        <v>2713900000</v>
      </c>
      <c r="X56" s="232">
        <f t="shared" si="4"/>
        <v>59.706516478197742</v>
      </c>
      <c r="Z56" s="233">
        <v>55.902670832049985</v>
      </c>
      <c r="AB56" s="323"/>
      <c r="AC56" s="324"/>
    </row>
    <row r="57" spans="1:29" x14ac:dyDescent="0.3">
      <c r="A57" s="239" t="s">
        <v>193</v>
      </c>
      <c r="B57" s="221"/>
      <c r="C57" s="221"/>
      <c r="D57" s="222"/>
      <c r="E57" s="223"/>
      <c r="F57" s="234"/>
      <c r="G57" s="221"/>
      <c r="H57" s="234"/>
      <c r="I57" s="221"/>
      <c r="J57" s="222"/>
      <c r="K57" s="223"/>
      <c r="L57" s="229"/>
      <c r="M57" s="227"/>
      <c r="N57" s="228">
        <v>3708000</v>
      </c>
      <c r="P57" s="237"/>
      <c r="Q57" s="226"/>
      <c r="R57" s="226"/>
      <c r="S57" s="229">
        <v>6983000</v>
      </c>
      <c r="T57" s="236">
        <v>46429000</v>
      </c>
      <c r="U57" s="221">
        <f t="shared" si="8"/>
        <v>3708000000</v>
      </c>
      <c r="V57" s="231">
        <f t="shared" si="5"/>
        <v>79.863878179586038</v>
      </c>
      <c r="W57" s="221">
        <f t="shared" si="3"/>
        <v>2595600000</v>
      </c>
      <c r="X57" s="232">
        <f t="shared" si="4"/>
        <v>55.904714725710221</v>
      </c>
      <c r="Z57" s="233">
        <v>55.504103039048871</v>
      </c>
      <c r="AB57" s="323"/>
      <c r="AC57" s="324"/>
    </row>
    <row r="58" spans="1:29" x14ac:dyDescent="0.3">
      <c r="A58" s="238" t="s">
        <v>194</v>
      </c>
      <c r="B58" s="221"/>
      <c r="C58" s="221"/>
      <c r="D58" s="222"/>
      <c r="E58" s="223"/>
      <c r="F58" s="234"/>
      <c r="G58" s="221"/>
      <c r="H58" s="234"/>
      <c r="I58" s="221"/>
      <c r="J58" s="222"/>
      <c r="K58" s="223"/>
      <c r="L58" s="229"/>
      <c r="M58" s="227"/>
      <c r="N58" s="228">
        <v>3712000</v>
      </c>
      <c r="P58" s="237"/>
      <c r="Q58" s="226"/>
      <c r="R58" s="226"/>
      <c r="S58" s="229">
        <v>7243000</v>
      </c>
      <c r="T58" s="236">
        <v>46586000</v>
      </c>
      <c r="U58" s="221">
        <f t="shared" si="8"/>
        <v>3712000000</v>
      </c>
      <c r="V58" s="231">
        <f t="shared" si="5"/>
        <v>79.680590735414071</v>
      </c>
      <c r="W58" s="221">
        <f t="shared" si="3"/>
        <v>2598400000</v>
      </c>
      <c r="X58" s="232">
        <f t="shared" si="4"/>
        <v>55.776413514789851</v>
      </c>
      <c r="Z58" s="233">
        <v>56.948439445326919</v>
      </c>
      <c r="AB58" s="323"/>
      <c r="AC58" s="324"/>
    </row>
    <row r="59" spans="1:29" x14ac:dyDescent="0.3">
      <c r="A59" s="238" t="s">
        <v>195</v>
      </c>
      <c r="B59" s="221"/>
      <c r="C59" s="221"/>
      <c r="D59" s="222"/>
      <c r="E59" s="223"/>
      <c r="F59" s="234"/>
      <c r="G59" s="221"/>
      <c r="H59" s="234"/>
      <c r="I59" s="221"/>
      <c r="J59" s="222"/>
      <c r="K59" s="223"/>
      <c r="L59" s="229"/>
      <c r="M59" s="227"/>
      <c r="N59" s="228">
        <v>3740000</v>
      </c>
      <c r="P59" s="237"/>
      <c r="Q59" s="226"/>
      <c r="R59" s="226"/>
      <c r="S59" s="229">
        <v>7283000</v>
      </c>
      <c r="T59" s="236">
        <v>46888000</v>
      </c>
      <c r="U59" s="221">
        <f t="shared" si="8"/>
        <v>3740000000</v>
      </c>
      <c r="V59" s="231">
        <f t="shared" si="5"/>
        <v>79.764545299436961</v>
      </c>
      <c r="W59" s="221">
        <f t="shared" si="3"/>
        <v>2618000000</v>
      </c>
      <c r="X59" s="232">
        <f t="shared" si="4"/>
        <v>55.83518170960587</v>
      </c>
      <c r="Z59" s="233">
        <v>58.351817096058696</v>
      </c>
      <c r="AB59" s="323"/>
      <c r="AC59" s="324"/>
    </row>
    <row r="60" spans="1:29" x14ac:dyDescent="0.3">
      <c r="A60" s="239" t="s">
        <v>196</v>
      </c>
      <c r="B60" s="221"/>
      <c r="C60" s="221"/>
      <c r="D60" s="222"/>
      <c r="E60" s="223"/>
      <c r="F60" s="234"/>
      <c r="G60" s="221"/>
      <c r="H60" s="234"/>
      <c r="I60" s="221"/>
      <c r="J60" s="222"/>
      <c r="K60" s="223"/>
      <c r="L60" s="229"/>
      <c r="M60" s="227"/>
      <c r="N60" s="228">
        <v>3825000</v>
      </c>
      <c r="P60" s="237"/>
      <c r="Q60" s="226"/>
      <c r="R60" s="226"/>
      <c r="S60" s="229">
        <v>7462000</v>
      </c>
      <c r="T60" s="236">
        <v>47391000</v>
      </c>
      <c r="U60" s="221">
        <f t="shared" si="8"/>
        <v>3825000000</v>
      </c>
      <c r="V60" s="231">
        <f t="shared" si="5"/>
        <v>80.711527505222506</v>
      </c>
      <c r="W60" s="221">
        <f t="shared" si="3"/>
        <v>2677500000</v>
      </c>
      <c r="X60" s="232">
        <f t="shared" si="4"/>
        <v>56.498069253655757</v>
      </c>
      <c r="Z60" s="233">
        <v>58.935240868519337</v>
      </c>
      <c r="AB60" s="323"/>
      <c r="AC60" s="324"/>
    </row>
    <row r="61" spans="1:29" x14ac:dyDescent="0.3">
      <c r="A61" s="239" t="s">
        <v>197</v>
      </c>
      <c r="B61" s="221"/>
      <c r="C61" s="221"/>
      <c r="D61" s="222"/>
      <c r="E61" s="223"/>
      <c r="F61" s="234"/>
      <c r="G61" s="221"/>
      <c r="H61" s="234"/>
      <c r="I61" s="221"/>
      <c r="J61" s="222"/>
      <c r="K61" s="223"/>
      <c r="L61" s="229"/>
      <c r="M61" s="227"/>
      <c r="N61" s="228">
        <v>3816000</v>
      </c>
      <c r="P61" s="237"/>
      <c r="Q61" s="226"/>
      <c r="R61" s="226"/>
      <c r="S61" s="229">
        <v>7660000</v>
      </c>
      <c r="T61" s="236">
        <v>47851000</v>
      </c>
      <c r="U61" s="221">
        <f t="shared" si="8"/>
        <v>3816000000</v>
      </c>
      <c r="V61" s="231">
        <f t="shared" si="5"/>
        <v>79.747549685482014</v>
      </c>
      <c r="W61" s="221">
        <f t="shared" si="3"/>
        <v>2671200000</v>
      </c>
      <c r="X61" s="232">
        <f t="shared" si="4"/>
        <v>55.823284779837415</v>
      </c>
      <c r="Z61" s="233">
        <v>58.93293766065495</v>
      </c>
      <c r="AB61" s="323"/>
      <c r="AC61" s="324"/>
    </row>
    <row r="62" spans="1:29" x14ac:dyDescent="0.3">
      <c r="A62" s="239" t="s">
        <v>198</v>
      </c>
      <c r="B62" s="221"/>
      <c r="C62" s="221"/>
      <c r="D62" s="222"/>
      <c r="E62" s="223"/>
      <c r="F62" s="234"/>
      <c r="G62" s="221"/>
      <c r="H62" s="234"/>
      <c r="I62" s="221"/>
      <c r="J62" s="222"/>
      <c r="K62" s="223"/>
      <c r="L62" s="229"/>
      <c r="M62" s="227"/>
      <c r="N62" s="228">
        <v>3809000</v>
      </c>
      <c r="P62" s="237"/>
      <c r="Q62" s="226"/>
      <c r="R62" s="226"/>
      <c r="S62" s="229">
        <v>8029000</v>
      </c>
      <c r="T62" s="236">
        <v>48687000</v>
      </c>
      <c r="U62" s="221">
        <f t="shared" si="8"/>
        <v>3809000000</v>
      </c>
      <c r="V62" s="231">
        <f t="shared" si="5"/>
        <v>78.234436297163512</v>
      </c>
      <c r="W62" s="221">
        <f t="shared" si="3"/>
        <v>2666300000</v>
      </c>
      <c r="X62" s="232">
        <f t="shared" si="4"/>
        <v>54.764105408014458</v>
      </c>
      <c r="Z62" s="233">
        <v>58.434489699509108</v>
      </c>
      <c r="AB62" s="323"/>
      <c r="AC62" s="324"/>
    </row>
    <row r="63" spans="1:29" x14ac:dyDescent="0.3">
      <c r="A63" s="239" t="s">
        <v>199</v>
      </c>
      <c r="B63" s="221"/>
      <c r="C63" s="221"/>
      <c r="D63" s="222"/>
      <c r="E63" s="223"/>
      <c r="F63" s="234"/>
      <c r="G63" s="221"/>
      <c r="H63" s="234"/>
      <c r="I63" s="221"/>
      <c r="J63" s="222"/>
      <c r="K63" s="223"/>
      <c r="L63" s="229"/>
      <c r="M63" s="227"/>
      <c r="N63" s="228">
        <v>4524000</v>
      </c>
      <c r="P63" s="237"/>
      <c r="Q63" s="226"/>
      <c r="R63" s="226"/>
      <c r="S63" s="229">
        <v>8613000</v>
      </c>
      <c r="T63" s="236">
        <v>49321000</v>
      </c>
      <c r="U63" s="221">
        <f t="shared" si="8"/>
        <v>4524000000</v>
      </c>
      <c r="V63" s="231">
        <f t="shared" si="5"/>
        <v>91.725634111230505</v>
      </c>
      <c r="W63" s="221">
        <f t="shared" si="3"/>
        <v>3166800000</v>
      </c>
      <c r="X63" s="232">
        <f t="shared" si="4"/>
        <v>64.207943877861354</v>
      </c>
      <c r="Z63" s="233">
        <v>57.926643823117942</v>
      </c>
      <c r="AB63" s="323"/>
      <c r="AC63" s="324"/>
    </row>
    <row r="64" spans="1:29" x14ac:dyDescent="0.3">
      <c r="A64" s="239" t="s">
        <v>200</v>
      </c>
      <c r="B64" s="221"/>
      <c r="C64" s="221"/>
      <c r="D64" s="222"/>
      <c r="E64" s="223"/>
      <c r="F64" s="234"/>
      <c r="G64" s="221"/>
      <c r="H64" s="234"/>
      <c r="I64" s="221"/>
      <c r="J64" s="222"/>
      <c r="K64" s="223"/>
      <c r="L64" s="229"/>
      <c r="M64" s="227"/>
      <c r="N64" s="228">
        <v>4471000</v>
      </c>
      <c r="P64" s="237"/>
      <c r="Q64" s="226"/>
      <c r="R64" s="226"/>
      <c r="S64" s="229">
        <v>8658000</v>
      </c>
      <c r="T64" s="236">
        <v>49991000</v>
      </c>
      <c r="U64" s="221">
        <f t="shared" si="8"/>
        <v>4471000000</v>
      </c>
      <c r="V64" s="231">
        <f t="shared" si="5"/>
        <v>89.436098497729589</v>
      </c>
      <c r="W64" s="221">
        <f t="shared" si="3"/>
        <v>3129700000</v>
      </c>
      <c r="X64" s="232">
        <f t="shared" si="4"/>
        <v>62.605268948410711</v>
      </c>
      <c r="Z64" s="233">
        <v>60.350863155367968</v>
      </c>
      <c r="AB64" s="323"/>
      <c r="AC64" s="324"/>
    </row>
    <row r="65" spans="1:30" x14ac:dyDescent="0.3">
      <c r="A65" s="239" t="s">
        <v>201</v>
      </c>
      <c r="B65" s="221"/>
      <c r="C65" s="221"/>
      <c r="D65" s="222"/>
      <c r="E65" s="223"/>
      <c r="F65" s="234"/>
      <c r="G65" s="221"/>
      <c r="H65" s="234"/>
      <c r="I65" s="221"/>
      <c r="J65" s="222"/>
      <c r="K65" s="223"/>
      <c r="L65" s="229"/>
      <c r="M65" s="227"/>
      <c r="N65" s="228">
        <v>4513000</v>
      </c>
      <c r="P65" s="237"/>
      <c r="Q65" s="226"/>
      <c r="R65" s="226"/>
      <c r="S65" s="229">
        <v>8857000</v>
      </c>
      <c r="T65" s="236">
        <v>50587000</v>
      </c>
      <c r="U65" s="221">
        <f t="shared" si="8"/>
        <v>4513000000</v>
      </c>
      <c r="V65" s="231">
        <f t="shared" si="5"/>
        <v>89.212643564552152</v>
      </c>
      <c r="W65" s="221">
        <f t="shared" si="3"/>
        <v>3159100000</v>
      </c>
      <c r="X65" s="232">
        <f t="shared" si="4"/>
        <v>62.448850495186512</v>
      </c>
      <c r="Z65" s="233">
        <v>58.216537845691583</v>
      </c>
      <c r="AB65" s="323"/>
      <c r="AC65" s="324"/>
    </row>
    <row r="66" spans="1:30" x14ac:dyDescent="0.3">
      <c r="A66" s="239" t="s">
        <v>202</v>
      </c>
      <c r="B66" s="221"/>
      <c r="C66" s="221"/>
      <c r="D66" s="222"/>
      <c r="E66" s="223"/>
      <c r="F66" s="234"/>
      <c r="G66" s="221"/>
      <c r="H66" s="234"/>
      <c r="I66" s="221"/>
      <c r="J66" s="222"/>
      <c r="K66" s="223"/>
      <c r="L66" s="229"/>
      <c r="M66" s="227"/>
      <c r="N66" s="228">
        <v>4512000</v>
      </c>
      <c r="P66" s="237"/>
      <c r="Q66" s="226"/>
      <c r="R66" s="226"/>
      <c r="S66" s="229">
        <v>8941000</v>
      </c>
      <c r="T66" s="230">
        <v>51771000</v>
      </c>
      <c r="U66" s="221">
        <f t="shared" si="8"/>
        <v>4512000000</v>
      </c>
      <c r="V66" s="231">
        <f t="shared" si="5"/>
        <v>87.153039346352202</v>
      </c>
      <c r="W66" s="221">
        <f t="shared" si="3"/>
        <v>3158400000</v>
      </c>
      <c r="X66" s="232">
        <f t="shared" si="4"/>
        <v>61.007127542446547</v>
      </c>
      <c r="Z66" s="233">
        <v>61.849297869463598</v>
      </c>
      <c r="AB66" s="323"/>
      <c r="AC66" s="324"/>
    </row>
    <row r="67" spans="1:30" x14ac:dyDescent="0.3">
      <c r="A67" s="239" t="s">
        <v>203</v>
      </c>
      <c r="B67" s="221"/>
      <c r="C67" s="221"/>
      <c r="D67" s="222"/>
      <c r="E67" s="223"/>
      <c r="F67" s="234"/>
      <c r="G67" s="221"/>
      <c r="H67" s="234"/>
      <c r="I67" s="221"/>
      <c r="J67" s="222"/>
      <c r="K67" s="223"/>
      <c r="L67" s="229"/>
      <c r="M67" s="227"/>
      <c r="N67" s="228">
        <v>4499000</v>
      </c>
      <c r="P67" s="237"/>
      <c r="Q67" s="226"/>
      <c r="R67" s="226"/>
      <c r="S67" s="229">
        <v>8935000</v>
      </c>
      <c r="T67" s="236">
        <v>52982000</v>
      </c>
      <c r="U67" s="221">
        <f t="shared" si="8"/>
        <v>4499000000</v>
      </c>
      <c r="V67" s="231">
        <f t="shared" si="5"/>
        <v>84.915631723981733</v>
      </c>
      <c r="W67" s="221">
        <f t="shared" si="3"/>
        <v>3149300000</v>
      </c>
      <c r="X67" s="232">
        <f t="shared" si="4"/>
        <v>59.440942206787213</v>
      </c>
      <c r="Z67" s="233">
        <v>57.379600619078175</v>
      </c>
      <c r="AB67" s="323"/>
      <c r="AC67" s="324"/>
    </row>
    <row r="68" spans="1:30" x14ac:dyDescent="0.3">
      <c r="A68" s="239" t="s">
        <v>204</v>
      </c>
      <c r="B68" s="221"/>
      <c r="C68" s="221"/>
      <c r="D68" s="222"/>
      <c r="E68" s="223"/>
      <c r="F68" s="234"/>
      <c r="G68" s="221"/>
      <c r="H68" s="234"/>
      <c r="I68" s="221"/>
      <c r="J68" s="222"/>
      <c r="K68" s="223"/>
      <c r="L68" s="229"/>
      <c r="M68" s="227"/>
      <c r="N68" s="228">
        <v>4582310</v>
      </c>
      <c r="P68" s="237"/>
      <c r="Q68" s="226"/>
      <c r="R68" s="226"/>
      <c r="S68" s="229">
        <v>9348670</v>
      </c>
      <c r="T68" s="236">
        <v>54002000</v>
      </c>
      <c r="U68" s="221">
        <f t="shared" si="8"/>
        <v>4582310000</v>
      </c>
      <c r="V68" s="231">
        <f t="shared" ref="V68:V81" si="9">U68/T68</f>
        <v>84.854449835191289</v>
      </c>
      <c r="W68" s="221">
        <f t="shared" si="3"/>
        <v>3207617000</v>
      </c>
      <c r="X68" s="232">
        <f t="shared" si="4"/>
        <v>59.398114884633905</v>
      </c>
      <c r="Z68" s="233">
        <v>58.80956260879227</v>
      </c>
      <c r="AB68" s="323"/>
      <c r="AC68" s="324"/>
    </row>
    <row r="69" spans="1:30" x14ac:dyDescent="0.3">
      <c r="A69" s="239" t="s">
        <v>205</v>
      </c>
      <c r="B69" s="221"/>
      <c r="C69" s="221"/>
      <c r="D69" s="222"/>
      <c r="E69" s="223"/>
      <c r="F69" s="234"/>
      <c r="G69" s="221"/>
      <c r="H69" s="234"/>
      <c r="I69" s="221"/>
      <c r="J69" s="222"/>
      <c r="K69" s="223"/>
      <c r="L69" s="229"/>
      <c r="M69" s="227"/>
      <c r="N69" s="228">
        <v>4840021</v>
      </c>
      <c r="P69" s="237"/>
      <c r="Q69" s="226"/>
      <c r="R69" s="226"/>
      <c r="S69" s="229">
        <v>9926519</v>
      </c>
      <c r="T69" s="236">
        <v>54957000</v>
      </c>
      <c r="U69" s="221">
        <f t="shared" si="8"/>
        <v>4840021000</v>
      </c>
      <c r="V69" s="231">
        <f t="shared" si="9"/>
        <v>88.069235948104875</v>
      </c>
      <c r="W69" s="221">
        <f t="shared" ref="W69:W70" si="10">U69-(U69*0.3)</f>
        <v>3388014700</v>
      </c>
      <c r="X69" s="232">
        <f t="shared" ref="X69:X71" si="11">W69/T69</f>
        <v>61.648465163673414</v>
      </c>
      <c r="Z69" s="233">
        <v>56.639154247866514</v>
      </c>
      <c r="AB69" s="323"/>
      <c r="AC69" s="324"/>
    </row>
    <row r="70" spans="1:30" x14ac:dyDescent="0.3">
      <c r="A70" s="239" t="s">
        <v>206</v>
      </c>
      <c r="B70" s="221"/>
      <c r="C70" s="221"/>
      <c r="D70" s="222"/>
      <c r="E70" s="223"/>
      <c r="F70" s="234"/>
      <c r="G70" s="221"/>
      <c r="H70" s="234"/>
      <c r="I70" s="221"/>
      <c r="J70" s="222"/>
      <c r="K70" s="223"/>
      <c r="L70" s="229"/>
      <c r="M70" s="227"/>
      <c r="N70" s="228">
        <v>4698482</v>
      </c>
      <c r="P70" s="237"/>
      <c r="Q70" s="226"/>
      <c r="R70" s="226"/>
      <c r="S70" s="229">
        <v>10248994</v>
      </c>
      <c r="T70" s="230">
        <v>55909000</v>
      </c>
      <c r="U70" s="221">
        <f t="shared" si="8"/>
        <v>4698482000</v>
      </c>
      <c r="V70" s="231">
        <f t="shared" si="9"/>
        <v>84.038026078091178</v>
      </c>
      <c r="W70" s="221">
        <f t="shared" si="10"/>
        <v>3288937400</v>
      </c>
      <c r="X70" s="232">
        <f t="shared" si="11"/>
        <v>58.826618254663828</v>
      </c>
      <c r="Z70" s="233">
        <v>56.241642669337672</v>
      </c>
      <c r="AB70" s="323"/>
      <c r="AC70" s="324"/>
    </row>
    <row r="71" spans="1:30" x14ac:dyDescent="0.3">
      <c r="A71" s="220" t="s">
        <v>157</v>
      </c>
      <c r="B71" s="221">
        <v>8894</v>
      </c>
      <c r="C71" s="221">
        <v>47392</v>
      </c>
      <c r="D71" s="221">
        <v>107965</v>
      </c>
      <c r="E71" s="223">
        <v>164251</v>
      </c>
      <c r="F71" s="221">
        <v>28005</v>
      </c>
      <c r="G71" s="221">
        <v>401344</v>
      </c>
      <c r="H71" s="221">
        <v>2275099</v>
      </c>
      <c r="I71" s="221">
        <v>12290</v>
      </c>
      <c r="J71" s="240"/>
      <c r="K71" s="223">
        <v>2807213</v>
      </c>
      <c r="L71" s="241">
        <v>90475</v>
      </c>
      <c r="M71" s="242">
        <f t="shared" ref="M71:M81" si="12">E71+K71+L71</f>
        <v>3061939</v>
      </c>
      <c r="N71" s="228">
        <v>4809221</v>
      </c>
      <c r="P71" s="237">
        <f>N70-M71</f>
        <v>1636543</v>
      </c>
      <c r="Q71" s="226"/>
      <c r="R71" s="226"/>
      <c r="S71" s="229">
        <v>9838709</v>
      </c>
      <c r="T71" s="230">
        <v>56522000</v>
      </c>
      <c r="U71" s="221">
        <f t="shared" si="8"/>
        <v>4809221000</v>
      </c>
      <c r="V71" s="243">
        <f t="shared" si="9"/>
        <v>85.08582498850005</v>
      </c>
      <c r="W71" s="221">
        <f>U71-AC71</f>
        <v>3319526000</v>
      </c>
      <c r="X71" s="232">
        <f t="shared" si="11"/>
        <v>58.729804323980041</v>
      </c>
      <c r="Z71" s="233">
        <v>55.919111142563956</v>
      </c>
      <c r="AB71" s="323">
        <v>1489695</v>
      </c>
      <c r="AC71" s="323">
        <f>AB71*1000</f>
        <v>1489695000</v>
      </c>
      <c r="AD71" s="177"/>
    </row>
    <row r="72" spans="1:30" x14ac:dyDescent="0.3">
      <c r="A72" s="220" t="s">
        <v>158</v>
      </c>
      <c r="B72" s="221">
        <v>8727</v>
      </c>
      <c r="C72" s="221">
        <v>60423</v>
      </c>
      <c r="D72" s="221">
        <v>112676</v>
      </c>
      <c r="E72" s="223">
        <v>181826</v>
      </c>
      <c r="F72" s="221">
        <v>37556</v>
      </c>
      <c r="G72" s="221">
        <v>357886</v>
      </c>
      <c r="H72" s="221">
        <v>2388000</v>
      </c>
      <c r="I72" s="221">
        <v>10376</v>
      </c>
      <c r="J72" s="240"/>
      <c r="K72" s="223">
        <v>2869565</v>
      </c>
      <c r="L72" s="241">
        <v>113303</v>
      </c>
      <c r="M72" s="242">
        <f t="shared" si="12"/>
        <v>3164694</v>
      </c>
      <c r="N72" s="228">
        <v>4993476</v>
      </c>
      <c r="P72" s="237">
        <f>N71-M72</f>
        <v>1644527</v>
      </c>
      <c r="Q72" s="226"/>
      <c r="R72" s="226"/>
      <c r="S72" s="229">
        <v>10299680</v>
      </c>
      <c r="T72" s="236">
        <v>57726000</v>
      </c>
      <c r="U72" s="221">
        <f t="shared" ref="U72" si="13">N72*1000</f>
        <v>4993476000</v>
      </c>
      <c r="V72" s="231">
        <f t="shared" si="9"/>
        <v>86.503066209333753</v>
      </c>
      <c r="W72" s="221">
        <f t="shared" ref="W72:W81" si="14">U72-AC72</f>
        <v>3391210000</v>
      </c>
      <c r="X72" s="232">
        <f t="shared" ref="X72:X81" si="15">W72/T72</f>
        <v>58.746665280809339</v>
      </c>
      <c r="Z72" s="233">
        <v>55.895939438034851</v>
      </c>
      <c r="AB72" s="323">
        <v>1602266</v>
      </c>
      <c r="AC72" s="323">
        <f t="shared" ref="AC72:AC81" si="16">AB72*1000</f>
        <v>1602266000</v>
      </c>
    </row>
    <row r="73" spans="1:30" x14ac:dyDescent="0.3">
      <c r="A73" s="220" t="s">
        <v>232</v>
      </c>
      <c r="B73" s="221">
        <v>8228</v>
      </c>
      <c r="C73" s="221">
        <v>62964</v>
      </c>
      <c r="D73" s="221">
        <v>118545</v>
      </c>
      <c r="E73" s="223">
        <f t="shared" ref="E73:E77" si="17">SUM(B73:D73)</f>
        <v>189737</v>
      </c>
      <c r="F73" s="221">
        <v>28439</v>
      </c>
      <c r="G73" s="221">
        <v>371301</v>
      </c>
      <c r="H73" s="221">
        <v>2495637</v>
      </c>
      <c r="I73" s="221">
        <v>8568</v>
      </c>
      <c r="J73" s="240"/>
      <c r="K73" s="223">
        <f>SUM(F73:J73)</f>
        <v>2903945</v>
      </c>
      <c r="L73" s="241">
        <v>109299</v>
      </c>
      <c r="M73" s="242">
        <f t="shared" si="12"/>
        <v>3202981</v>
      </c>
      <c r="N73" s="228">
        <v>5160772</v>
      </c>
      <c r="P73" s="237">
        <f>N72-M73</f>
        <v>1790495</v>
      </c>
      <c r="Q73" s="226"/>
      <c r="R73" s="226"/>
      <c r="S73" s="229">
        <v>10299680</v>
      </c>
      <c r="T73" s="236">
        <v>58775000</v>
      </c>
      <c r="U73" s="221">
        <f>N73*1000</f>
        <v>5160772000</v>
      </c>
      <c r="V73" s="231">
        <f t="shared" si="9"/>
        <v>87.805563589961722</v>
      </c>
      <c r="W73" s="221">
        <f t="shared" si="14"/>
        <v>3493434000</v>
      </c>
      <c r="X73" s="232">
        <f t="shared" si="15"/>
        <v>59.437413866439812</v>
      </c>
      <c r="Z73" s="233">
        <v>55.319608677158655</v>
      </c>
      <c r="AB73" s="323">
        <v>1667338</v>
      </c>
      <c r="AC73" s="323">
        <f t="shared" si="16"/>
        <v>1667338000</v>
      </c>
    </row>
    <row r="74" spans="1:30" x14ac:dyDescent="0.3">
      <c r="A74" s="220" t="s">
        <v>236</v>
      </c>
      <c r="B74" s="221">
        <v>8476</v>
      </c>
      <c r="C74" s="221">
        <v>68251</v>
      </c>
      <c r="D74" s="221">
        <v>117573</v>
      </c>
      <c r="E74" s="223">
        <f t="shared" si="17"/>
        <v>194300</v>
      </c>
      <c r="F74" s="221">
        <v>22100</v>
      </c>
      <c r="G74" s="221">
        <v>371313</v>
      </c>
      <c r="H74" s="221">
        <v>2725436</v>
      </c>
      <c r="I74" s="221">
        <v>12540</v>
      </c>
      <c r="J74" s="240"/>
      <c r="K74" s="223">
        <f t="shared" ref="K74:K81" si="18">SUM(F74:I74)</f>
        <v>3131389</v>
      </c>
      <c r="L74" s="241">
        <v>123704</v>
      </c>
      <c r="M74" s="242">
        <f t="shared" si="12"/>
        <v>3449393</v>
      </c>
      <c r="N74" s="244">
        <v>5387572</v>
      </c>
      <c r="O74" s="245"/>
      <c r="P74" s="246">
        <f>N72-M74</f>
        <v>1544083</v>
      </c>
      <c r="Q74" s="247"/>
      <c r="R74" s="247"/>
      <c r="S74" s="248">
        <v>10299680</v>
      </c>
      <c r="T74" s="236">
        <v>59622000</v>
      </c>
      <c r="U74" s="221">
        <f>N74*1000</f>
        <v>5387572000</v>
      </c>
      <c r="V74" s="231">
        <f t="shared" ref="V74:V76" si="19">U74/T74</f>
        <v>90.362148200328733</v>
      </c>
      <c r="W74" s="221">
        <f t="shared" si="14"/>
        <v>3563758000</v>
      </c>
      <c r="X74" s="232">
        <f t="shared" ref="X74:X76" si="20">W74/T74</f>
        <v>59.772533628526382</v>
      </c>
      <c r="Z74" s="233">
        <v>57.270839622957972</v>
      </c>
      <c r="AB74" s="323">
        <v>1823814</v>
      </c>
      <c r="AC74" s="323">
        <f t="shared" si="16"/>
        <v>1823814000</v>
      </c>
    </row>
    <row r="75" spans="1:30" x14ac:dyDescent="0.3">
      <c r="A75" s="220" t="s">
        <v>241</v>
      </c>
      <c r="B75" s="221">
        <v>7264</v>
      </c>
      <c r="C75" s="221">
        <v>69446</v>
      </c>
      <c r="D75" s="221">
        <v>110572</v>
      </c>
      <c r="E75" s="223">
        <f t="shared" si="17"/>
        <v>187282</v>
      </c>
      <c r="F75" s="221">
        <v>21881</v>
      </c>
      <c r="G75" s="221">
        <v>295406</v>
      </c>
      <c r="H75" s="221">
        <v>2862883</v>
      </c>
      <c r="I75" s="221">
        <v>9987</v>
      </c>
      <c r="J75" s="240"/>
      <c r="K75" s="223">
        <f t="shared" si="18"/>
        <v>3190157</v>
      </c>
      <c r="L75" s="241">
        <v>114903</v>
      </c>
      <c r="M75" s="242">
        <f t="shared" si="12"/>
        <v>3492342</v>
      </c>
      <c r="N75" s="244">
        <v>5657836</v>
      </c>
      <c r="O75" s="245"/>
      <c r="P75" s="246">
        <f>N72-M75</f>
        <v>1501134</v>
      </c>
      <c r="Q75" s="247"/>
      <c r="R75" s="247"/>
      <c r="S75" s="248">
        <v>10299680</v>
      </c>
      <c r="T75" s="236">
        <v>60143000</v>
      </c>
      <c r="U75" s="221">
        <f t="shared" ref="U75:U76" si="21">N75*1000</f>
        <v>5657836000</v>
      </c>
      <c r="V75" s="231">
        <f t="shared" si="19"/>
        <v>94.073059208885496</v>
      </c>
      <c r="W75" s="221">
        <f t="shared" si="14"/>
        <v>3687977000</v>
      </c>
      <c r="X75" s="232">
        <f t="shared" si="20"/>
        <v>61.320137006800458</v>
      </c>
      <c r="Z75" s="233">
        <v>55.661955672314321</v>
      </c>
      <c r="AB75" s="323">
        <v>1969859</v>
      </c>
      <c r="AC75" s="323">
        <f t="shared" si="16"/>
        <v>1969859000</v>
      </c>
    </row>
    <row r="76" spans="1:30" x14ac:dyDescent="0.3">
      <c r="A76" s="220" t="s">
        <v>247</v>
      </c>
      <c r="B76" s="221">
        <v>7044</v>
      </c>
      <c r="C76" s="221">
        <v>78688</v>
      </c>
      <c r="D76" s="221">
        <v>107682</v>
      </c>
      <c r="E76" s="223">
        <f t="shared" si="17"/>
        <v>193414</v>
      </c>
      <c r="F76" s="221">
        <v>22311</v>
      </c>
      <c r="G76" s="221">
        <v>242736</v>
      </c>
      <c r="H76" s="221">
        <v>2693285</v>
      </c>
      <c r="I76" s="221">
        <v>6580</v>
      </c>
      <c r="J76" s="240"/>
      <c r="K76" s="223">
        <f t="shared" si="18"/>
        <v>2964912</v>
      </c>
      <c r="L76" s="241">
        <v>126163</v>
      </c>
      <c r="M76" s="242">
        <f t="shared" ref="M76" si="22">E76+K76+L76</f>
        <v>3284489</v>
      </c>
      <c r="N76" s="249">
        <v>5171981</v>
      </c>
      <c r="O76" s="245"/>
      <c r="P76" s="246">
        <f>N72-M76</f>
        <v>1708987</v>
      </c>
      <c r="Q76" s="247"/>
      <c r="R76" s="247"/>
      <c r="S76" s="248">
        <v>10299680</v>
      </c>
      <c r="T76" s="236">
        <v>62028000</v>
      </c>
      <c r="U76" s="250">
        <f t="shared" si="21"/>
        <v>5171981000</v>
      </c>
      <c r="V76" s="231">
        <f t="shared" si="19"/>
        <v>83.381392274456701</v>
      </c>
      <c r="W76" s="221">
        <f t="shared" si="14"/>
        <v>3342192000</v>
      </c>
      <c r="X76" s="232">
        <f t="shared" si="20"/>
        <v>53.881988779260979</v>
      </c>
      <c r="Z76" s="233">
        <v>54.246291997162572</v>
      </c>
      <c r="AB76" s="323">
        <v>1829789</v>
      </c>
      <c r="AC76" s="323">
        <f t="shared" si="16"/>
        <v>1829789000</v>
      </c>
    </row>
    <row r="77" spans="1:30" ht="15" thickBot="1" x14ac:dyDescent="0.35">
      <c r="A77" s="281" t="s">
        <v>254</v>
      </c>
      <c r="B77" s="282">
        <v>6406</v>
      </c>
      <c r="C77" s="282">
        <v>75557</v>
      </c>
      <c r="D77" s="282">
        <v>102705</v>
      </c>
      <c r="E77" s="283">
        <f t="shared" si="17"/>
        <v>184668</v>
      </c>
      <c r="F77" s="282">
        <v>25979</v>
      </c>
      <c r="G77" s="282">
        <v>249467</v>
      </c>
      <c r="H77" s="282">
        <v>2719115</v>
      </c>
      <c r="I77" s="282">
        <v>957</v>
      </c>
      <c r="J77" s="284"/>
      <c r="K77" s="283">
        <f t="shared" si="18"/>
        <v>2995518</v>
      </c>
      <c r="L77" s="285">
        <v>124949</v>
      </c>
      <c r="M77" s="286">
        <f t="shared" si="12"/>
        <v>3305135</v>
      </c>
      <c r="N77" s="291">
        <v>5387927</v>
      </c>
      <c r="O77" s="245"/>
      <c r="P77" s="251">
        <f>N73-M77</f>
        <v>1855637</v>
      </c>
      <c r="Q77" s="252"/>
      <c r="R77" s="252"/>
      <c r="S77" s="253">
        <v>10299680</v>
      </c>
      <c r="T77" s="287">
        <v>62028000</v>
      </c>
      <c r="U77" s="282">
        <f>N77*1000</f>
        <v>5387927000</v>
      </c>
      <c r="V77" s="288">
        <f t="shared" si="9"/>
        <v>86.862820016766619</v>
      </c>
      <c r="W77" s="221">
        <f t="shared" si="14"/>
        <v>3471191000</v>
      </c>
      <c r="X77" s="289">
        <f t="shared" si="15"/>
        <v>55.961678596762752</v>
      </c>
      <c r="Z77" s="290">
        <v>55.653414586960729</v>
      </c>
      <c r="AB77" s="323">
        <v>1916736</v>
      </c>
      <c r="AC77" s="323">
        <f t="shared" si="16"/>
        <v>1916736000</v>
      </c>
    </row>
    <row r="78" spans="1:30" ht="15" thickBot="1" x14ac:dyDescent="0.35">
      <c r="A78" s="281" t="s">
        <v>255</v>
      </c>
      <c r="B78" s="282">
        <v>5883</v>
      </c>
      <c r="C78" s="282">
        <v>77617</v>
      </c>
      <c r="D78" s="282">
        <v>111556</v>
      </c>
      <c r="E78" s="283">
        <f t="shared" ref="E78:E81" si="23">SUM(B78:D78)</f>
        <v>195056</v>
      </c>
      <c r="F78" s="282">
        <v>19898</v>
      </c>
      <c r="G78" s="282">
        <v>287553</v>
      </c>
      <c r="H78" s="282">
        <v>3268041</v>
      </c>
      <c r="I78" s="282">
        <v>30</v>
      </c>
      <c r="J78" s="284"/>
      <c r="K78" s="283">
        <f t="shared" si="18"/>
        <v>3575522</v>
      </c>
      <c r="L78" s="294">
        <v>145264</v>
      </c>
      <c r="M78" s="286">
        <f t="shared" si="12"/>
        <v>3915842</v>
      </c>
      <c r="N78" s="291">
        <v>5942143</v>
      </c>
      <c r="O78" s="245"/>
      <c r="P78" s="251">
        <f>N73-M78</f>
        <v>1244930</v>
      </c>
      <c r="Q78" s="252"/>
      <c r="R78" s="252"/>
      <c r="S78" s="253">
        <v>10299680</v>
      </c>
      <c r="T78" s="287">
        <v>63016000</v>
      </c>
      <c r="U78" s="282">
        <f>N78*1000</f>
        <v>5942143000</v>
      </c>
      <c r="V78" s="288">
        <f t="shared" si="9"/>
        <v>94.295782023613057</v>
      </c>
      <c r="W78" s="221">
        <f t="shared" si="14"/>
        <v>3832045000</v>
      </c>
      <c r="X78" s="289">
        <f t="shared" si="15"/>
        <v>60.810667132156915</v>
      </c>
      <c r="Z78" s="290">
        <v>55.345473012188044</v>
      </c>
      <c r="AB78" s="323">
        <v>2110098</v>
      </c>
      <c r="AC78" s="323">
        <f t="shared" si="16"/>
        <v>2110098000</v>
      </c>
    </row>
    <row r="79" spans="1:30" ht="15" thickBot="1" x14ac:dyDescent="0.35">
      <c r="A79" s="281" t="s">
        <v>256</v>
      </c>
      <c r="B79" s="282">
        <v>4643</v>
      </c>
      <c r="C79" s="282">
        <v>51178</v>
      </c>
      <c r="D79" s="282">
        <v>96657</v>
      </c>
      <c r="E79" s="283">
        <f t="shared" si="23"/>
        <v>152478</v>
      </c>
      <c r="F79" s="282">
        <v>18821</v>
      </c>
      <c r="G79" s="282">
        <v>224779</v>
      </c>
      <c r="H79" s="282">
        <v>3057913</v>
      </c>
      <c r="I79" s="282">
        <v>14</v>
      </c>
      <c r="J79" s="284"/>
      <c r="K79" s="283">
        <f t="shared" si="18"/>
        <v>3301527</v>
      </c>
      <c r="L79" s="292">
        <v>145952</v>
      </c>
      <c r="M79" s="286">
        <f t="shared" si="12"/>
        <v>3599957</v>
      </c>
      <c r="N79" s="291">
        <v>5424650</v>
      </c>
      <c r="O79" s="245"/>
      <c r="P79" s="251">
        <f>N73-M79</f>
        <v>1560815</v>
      </c>
      <c r="Q79" s="252"/>
      <c r="R79" s="252"/>
      <c r="S79" s="253">
        <v>10299680</v>
      </c>
      <c r="T79" s="287">
        <v>63016000</v>
      </c>
      <c r="U79" s="282">
        <f>N79*1000</f>
        <v>5424650000</v>
      </c>
      <c r="V79" s="288">
        <f t="shared" si="9"/>
        <v>86.083693030341507</v>
      </c>
      <c r="W79" s="221">
        <f t="shared" si="14"/>
        <v>3570453000</v>
      </c>
      <c r="X79" s="289">
        <f t="shared" si="15"/>
        <v>56.659467436841439</v>
      </c>
      <c r="Z79" s="290">
        <v>56</v>
      </c>
      <c r="AB79" s="323">
        <v>1854197</v>
      </c>
      <c r="AC79" s="323">
        <f t="shared" si="16"/>
        <v>1854197000</v>
      </c>
    </row>
    <row r="80" spans="1:30" x14ac:dyDescent="0.3">
      <c r="A80" s="321" t="s">
        <v>258</v>
      </c>
      <c r="B80" s="282">
        <v>4991</v>
      </c>
      <c r="C80" s="282">
        <v>51744</v>
      </c>
      <c r="D80" s="282">
        <v>113843</v>
      </c>
      <c r="E80" s="283">
        <f t="shared" si="23"/>
        <v>170578</v>
      </c>
      <c r="F80" s="282">
        <v>18533</v>
      </c>
      <c r="G80" s="282">
        <v>195943</v>
      </c>
      <c r="H80" s="282">
        <v>2994637</v>
      </c>
      <c r="I80" s="282">
        <v>1702</v>
      </c>
      <c r="J80" s="284"/>
      <c r="K80" s="283">
        <f t="shared" si="18"/>
        <v>3210815</v>
      </c>
      <c r="L80" s="322">
        <v>134836</v>
      </c>
      <c r="M80" s="286">
        <f t="shared" si="12"/>
        <v>3516229</v>
      </c>
      <c r="N80" s="291">
        <v>5594107</v>
      </c>
      <c r="O80" s="245"/>
      <c r="P80" s="342"/>
      <c r="Q80" s="252"/>
      <c r="R80" s="252"/>
      <c r="S80" s="253"/>
      <c r="T80" s="287">
        <v>63100000</v>
      </c>
      <c r="U80" s="282">
        <f>N80*1000</f>
        <v>5594107000</v>
      </c>
      <c r="V80" s="288">
        <f t="shared" si="9"/>
        <v>88.654627575277331</v>
      </c>
      <c r="W80" s="282">
        <f t="shared" si="14"/>
        <v>3628489000</v>
      </c>
      <c r="X80" s="289">
        <f t="shared" si="15"/>
        <v>57.503787638668783</v>
      </c>
      <c r="Z80" s="290">
        <v>37</v>
      </c>
      <c r="AB80" s="323">
        <v>1965618</v>
      </c>
      <c r="AC80" s="323">
        <f t="shared" si="16"/>
        <v>1965618000</v>
      </c>
    </row>
    <row r="81" spans="1:29" x14ac:dyDescent="0.3">
      <c r="A81" s="321" t="s">
        <v>263</v>
      </c>
      <c r="B81" s="282">
        <v>734</v>
      </c>
      <c r="C81" s="282">
        <v>10226</v>
      </c>
      <c r="D81" s="282">
        <v>24106</v>
      </c>
      <c r="E81" s="283">
        <f t="shared" si="23"/>
        <v>35066</v>
      </c>
      <c r="F81" s="282">
        <v>2920</v>
      </c>
      <c r="G81" s="282">
        <v>42500</v>
      </c>
      <c r="H81" s="282">
        <v>693110</v>
      </c>
      <c r="I81" s="282">
        <v>1730</v>
      </c>
      <c r="J81" s="284"/>
      <c r="K81" s="283">
        <f t="shared" si="18"/>
        <v>740260</v>
      </c>
      <c r="L81" s="322">
        <v>33487</v>
      </c>
      <c r="M81" s="286">
        <f t="shared" si="12"/>
        <v>808813</v>
      </c>
      <c r="N81" s="293">
        <v>835016</v>
      </c>
      <c r="O81" s="245"/>
      <c r="P81" s="357"/>
      <c r="Q81" s="344"/>
      <c r="R81" s="344"/>
      <c r="S81" s="245"/>
      <c r="T81" s="287">
        <v>63100000</v>
      </c>
      <c r="U81" s="282">
        <v>1301326000</v>
      </c>
      <c r="V81" s="288">
        <f t="shared" si="9"/>
        <v>20.623232963549921</v>
      </c>
      <c r="W81" s="282">
        <f t="shared" si="14"/>
        <v>848682000</v>
      </c>
      <c r="X81" s="289">
        <f t="shared" si="15"/>
        <v>13.449793977812995</v>
      </c>
      <c r="Z81" s="290"/>
      <c r="AB81" s="358">
        <v>452644</v>
      </c>
      <c r="AC81" s="323">
        <f t="shared" si="16"/>
        <v>452644000</v>
      </c>
    </row>
    <row r="82" spans="1:29" ht="15" thickBot="1" x14ac:dyDescent="0.35">
      <c r="A82" s="345"/>
      <c r="B82" s="346"/>
      <c r="C82" s="346"/>
      <c r="D82" s="346"/>
      <c r="E82" s="347"/>
      <c r="F82" s="346"/>
      <c r="G82" s="346"/>
      <c r="H82" s="346"/>
      <c r="I82" s="346"/>
      <c r="J82" s="348"/>
      <c r="K82" s="347"/>
      <c r="L82" s="349"/>
      <c r="M82" s="350"/>
      <c r="N82" s="359"/>
      <c r="O82" s="245"/>
      <c r="P82" s="343"/>
      <c r="Q82" s="344"/>
      <c r="R82" s="344"/>
      <c r="S82" s="245"/>
      <c r="T82" s="351"/>
      <c r="U82" s="346"/>
      <c r="V82" s="352"/>
      <c r="W82" s="346"/>
      <c r="X82" s="353"/>
      <c r="Z82" s="354"/>
      <c r="AB82" s="355"/>
      <c r="AC82" s="356"/>
    </row>
    <row r="83" spans="1:29" x14ac:dyDescent="0.3">
      <c r="A83" s="254" t="s">
        <v>210</v>
      </c>
      <c r="N83" s="279" t="s">
        <v>265</v>
      </c>
      <c r="T83" s="255" t="s">
        <v>262</v>
      </c>
      <c r="U83" s="280"/>
      <c r="Z83" s="256"/>
    </row>
    <row r="84" spans="1:29" x14ac:dyDescent="0.3">
      <c r="A84" s="257" t="s">
        <v>209</v>
      </c>
      <c r="B84" s="177" t="s">
        <v>211</v>
      </c>
      <c r="C84" s="174"/>
      <c r="T84" s="258"/>
      <c r="Z84" s="256"/>
    </row>
    <row r="85" spans="1:29" x14ac:dyDescent="0.3">
      <c r="A85" s="257" t="s">
        <v>177</v>
      </c>
      <c r="B85" s="177" t="s">
        <v>250</v>
      </c>
      <c r="C85" s="174"/>
      <c r="Z85" s="256"/>
    </row>
    <row r="86" spans="1:29" x14ac:dyDescent="0.3">
      <c r="A86" s="257"/>
      <c r="Z86" s="256"/>
    </row>
    <row r="87" spans="1:29" x14ac:dyDescent="0.3">
      <c r="A87" s="254" t="s">
        <v>216</v>
      </c>
      <c r="Z87" s="256"/>
    </row>
    <row r="88" spans="1:29" x14ac:dyDescent="0.3">
      <c r="A88" s="259" t="s">
        <v>215</v>
      </c>
      <c r="B88" s="260" t="s">
        <v>214</v>
      </c>
      <c r="C88" s="174"/>
      <c r="Z88" s="261"/>
    </row>
    <row r="89" spans="1:29" x14ac:dyDescent="0.3">
      <c r="A89" s="259"/>
      <c r="B89" s="260" t="s">
        <v>251</v>
      </c>
      <c r="C89" s="174"/>
      <c r="Z89" s="256"/>
    </row>
    <row r="90" spans="1:29" x14ac:dyDescent="0.3">
      <c r="A90" s="259" t="s">
        <v>217</v>
      </c>
      <c r="B90" s="177" t="s">
        <v>225</v>
      </c>
      <c r="C90" s="174"/>
      <c r="U90" s="262"/>
      <c r="Z90" s="256"/>
    </row>
    <row r="91" spans="1:29" x14ac:dyDescent="0.3">
      <c r="A91" s="259" t="s">
        <v>252</v>
      </c>
      <c r="B91" s="177" t="s">
        <v>226</v>
      </c>
      <c r="Z91" s="256"/>
    </row>
    <row r="92" spans="1:29" x14ac:dyDescent="0.3">
      <c r="Z92" s="256"/>
    </row>
    <row r="93" spans="1:29" x14ac:dyDescent="0.3">
      <c r="Z93" s="256"/>
    </row>
    <row r="94" spans="1:29" x14ac:dyDescent="0.3">
      <c r="A94" s="174" t="s">
        <v>231</v>
      </c>
      <c r="B94" s="264" t="s">
        <v>266</v>
      </c>
      <c r="C94" s="265"/>
      <c r="Z94" s="256"/>
    </row>
    <row r="95" spans="1:29" x14ac:dyDescent="0.3">
      <c r="Z95" s="256"/>
    </row>
    <row r="96" spans="1:29" x14ac:dyDescent="0.3">
      <c r="B96" s="263"/>
      <c r="Z96" s="256"/>
    </row>
    <row r="97" spans="26:26" x14ac:dyDescent="0.3">
      <c r="Z97" s="256"/>
    </row>
    <row r="98" spans="26:26" x14ac:dyDescent="0.3">
      <c r="Z98" s="256"/>
    </row>
    <row r="99" spans="26:26" x14ac:dyDescent="0.3">
      <c r="Z99" s="256"/>
    </row>
    <row r="100" spans="26:26" x14ac:dyDescent="0.3">
      <c r="Z100" s="256"/>
    </row>
    <row r="101" spans="26:26" x14ac:dyDescent="0.3">
      <c r="Z101" s="256"/>
    </row>
    <row r="102" spans="26:26" x14ac:dyDescent="0.3">
      <c r="Z102" s="256"/>
    </row>
    <row r="103" spans="26:26" x14ac:dyDescent="0.3">
      <c r="Z103" s="256"/>
    </row>
    <row r="104" spans="26:26" x14ac:dyDescent="0.3">
      <c r="Z104" s="256"/>
    </row>
  </sheetData>
  <mergeCells count="2">
    <mergeCell ref="A3:N3"/>
    <mergeCell ref="AB2:AC2"/>
  </mergeCells>
  <pageMargins left="0.7" right="0.7" top="0.75" bottom="0.75" header="0.3" footer="0.3"/>
  <ignoredErrors>
    <ignoredError sqref="K73" emptyCellReferenc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1"/>
  <sheetViews>
    <sheetView zoomScaleNormal="100" workbookViewId="0">
      <pane xSplit="1" ySplit="3" topLeftCell="B22" activePane="bottomRight" state="frozen"/>
      <selection pane="topRight" activeCell="B1" sqref="B1"/>
      <selection pane="bottomLeft" activeCell="A4" sqref="A4"/>
      <selection pane="bottomRight" activeCell="C32" sqref="C32:H32"/>
    </sheetView>
  </sheetViews>
  <sheetFormatPr defaultColWidth="9.109375" defaultRowHeight="14.4" x14ac:dyDescent="0.3"/>
  <cols>
    <col min="1" max="1" width="15.6640625" style="273" customWidth="1"/>
    <col min="2" max="9" width="12.6640625" customWidth="1"/>
    <col min="11" max="11" width="12.44140625" customWidth="1"/>
  </cols>
  <sheetData>
    <row r="1" spans="1:18" ht="30.75" customHeight="1" thickBot="1" x14ac:dyDescent="0.35">
      <c r="A1" s="275"/>
      <c r="B1" s="266" t="s">
        <v>213</v>
      </c>
      <c r="C1" s="276"/>
      <c r="D1" s="276"/>
      <c r="E1" s="277"/>
      <c r="F1" s="277"/>
      <c r="G1" s="275"/>
      <c r="H1" s="275"/>
      <c r="I1" s="275"/>
      <c r="J1" s="278"/>
      <c r="K1" s="278"/>
      <c r="L1" s="278"/>
      <c r="M1" s="278"/>
    </row>
    <row r="2" spans="1:18" ht="72" x14ac:dyDescent="0.3">
      <c r="A2" s="313" t="s">
        <v>14</v>
      </c>
      <c r="B2" s="314" t="s">
        <v>5</v>
      </c>
      <c r="C2" s="314" t="s">
        <v>165</v>
      </c>
      <c r="D2" s="314" t="s">
        <v>9</v>
      </c>
      <c r="E2" s="314" t="s">
        <v>10</v>
      </c>
      <c r="F2" s="314" t="s">
        <v>11</v>
      </c>
      <c r="G2" s="314" t="s">
        <v>99</v>
      </c>
      <c r="H2" s="314" t="s">
        <v>60</v>
      </c>
      <c r="I2" s="315" t="s">
        <v>180</v>
      </c>
      <c r="J2" s="316" t="s">
        <v>257</v>
      </c>
    </row>
    <row r="3" spans="1:18" x14ac:dyDescent="0.3">
      <c r="A3" s="368" t="s">
        <v>166</v>
      </c>
      <c r="B3" s="369"/>
      <c r="C3" s="369"/>
      <c r="D3" s="369"/>
      <c r="E3" s="369"/>
      <c r="F3" s="369"/>
      <c r="G3" s="369"/>
      <c r="H3" s="369"/>
      <c r="I3" s="369"/>
      <c r="J3" s="370"/>
    </row>
    <row r="4" spans="1:18" x14ac:dyDescent="0.3">
      <c r="A4" s="317" t="s">
        <v>21</v>
      </c>
      <c r="B4" s="310"/>
      <c r="C4" s="310"/>
      <c r="D4" s="310"/>
      <c r="E4" s="318"/>
      <c r="F4" s="319" t="s">
        <v>182</v>
      </c>
      <c r="G4" s="310">
        <v>4808.0752000000002</v>
      </c>
      <c r="H4" s="310"/>
      <c r="I4" s="311">
        <v>4808.0752000000002</v>
      </c>
      <c r="J4" s="320"/>
      <c r="R4" s="267"/>
    </row>
    <row r="5" spans="1:18" x14ac:dyDescent="0.3">
      <c r="A5" s="297" t="s">
        <v>22</v>
      </c>
      <c r="B5" s="298"/>
      <c r="C5" s="298"/>
      <c r="D5" s="298"/>
      <c r="E5" s="298"/>
      <c r="F5" s="298"/>
      <c r="G5" s="298">
        <v>19595.1744</v>
      </c>
      <c r="H5" s="298"/>
      <c r="I5" s="299">
        <v>19595.1744</v>
      </c>
      <c r="J5" s="295"/>
      <c r="R5" s="267"/>
    </row>
    <row r="6" spans="1:18" x14ac:dyDescent="0.3">
      <c r="A6" s="297" t="s">
        <v>23</v>
      </c>
      <c r="B6" s="298"/>
      <c r="C6" s="298"/>
      <c r="D6" s="298"/>
      <c r="E6" s="298"/>
      <c r="F6" s="298"/>
      <c r="G6" s="298">
        <v>14061.352000000001</v>
      </c>
      <c r="H6" s="298"/>
      <c r="I6" s="299">
        <v>14061.352000000001</v>
      </c>
      <c r="J6" s="295"/>
      <c r="R6" s="267"/>
    </row>
    <row r="7" spans="1:18" x14ac:dyDescent="0.3">
      <c r="A7" s="297" t="s">
        <v>24</v>
      </c>
      <c r="B7" s="298"/>
      <c r="C7" s="298"/>
      <c r="D7" s="298"/>
      <c r="E7" s="298"/>
      <c r="F7" s="298"/>
      <c r="G7" s="298">
        <v>16238.5936</v>
      </c>
      <c r="H7" s="298"/>
      <c r="I7" s="299">
        <v>16238.5936</v>
      </c>
      <c r="J7" s="295"/>
      <c r="R7" s="267"/>
    </row>
    <row r="8" spans="1:18" x14ac:dyDescent="0.3">
      <c r="A8" s="297" t="s">
        <v>25</v>
      </c>
      <c r="B8" s="298"/>
      <c r="C8" s="298"/>
      <c r="D8" s="298"/>
      <c r="E8" s="298"/>
      <c r="F8" s="298"/>
      <c r="G8" s="298">
        <v>19323.019199999999</v>
      </c>
      <c r="H8" s="298"/>
      <c r="I8" s="299">
        <v>19323.019199999999</v>
      </c>
      <c r="J8" s="295"/>
      <c r="R8" s="267"/>
    </row>
    <row r="9" spans="1:18" x14ac:dyDescent="0.3">
      <c r="A9" s="297" t="s">
        <v>26</v>
      </c>
      <c r="B9" s="298"/>
      <c r="C9" s="298"/>
      <c r="D9" s="298"/>
      <c r="E9" s="298"/>
      <c r="F9" s="298"/>
      <c r="G9" s="298">
        <v>42909.803200000002</v>
      </c>
      <c r="H9" s="298"/>
      <c r="I9" s="299">
        <v>42909.803200000002</v>
      </c>
      <c r="J9" s="295"/>
      <c r="R9" s="267"/>
    </row>
    <row r="10" spans="1:18" x14ac:dyDescent="0.3">
      <c r="A10" s="297" t="s">
        <v>27</v>
      </c>
      <c r="B10" s="298"/>
      <c r="C10" s="298"/>
      <c r="D10" s="298"/>
      <c r="E10" s="298"/>
      <c r="F10" s="298"/>
      <c r="G10" s="298">
        <v>24221.8128</v>
      </c>
      <c r="H10" s="298"/>
      <c r="I10" s="299">
        <v>24221.8128</v>
      </c>
      <c r="J10" s="295"/>
      <c r="R10" s="267"/>
    </row>
    <row r="11" spans="1:18" x14ac:dyDescent="0.3">
      <c r="A11" s="297" t="s">
        <v>28</v>
      </c>
      <c r="B11" s="298"/>
      <c r="C11" s="298"/>
      <c r="D11" s="298"/>
      <c r="E11" s="298"/>
      <c r="F11" s="298"/>
      <c r="G11" s="298">
        <v>17236.495999999999</v>
      </c>
      <c r="H11" s="298"/>
      <c r="I11" s="299">
        <v>17236.495999999999</v>
      </c>
      <c r="J11" s="295"/>
      <c r="R11" s="267"/>
    </row>
    <row r="12" spans="1:18" x14ac:dyDescent="0.3">
      <c r="A12" s="297" t="s">
        <v>29</v>
      </c>
      <c r="B12" s="298"/>
      <c r="C12" s="298"/>
      <c r="D12" s="298"/>
      <c r="E12" s="298"/>
      <c r="F12" s="298"/>
      <c r="G12" s="298">
        <v>13698.4784</v>
      </c>
      <c r="H12" s="298"/>
      <c r="I12" s="299">
        <v>13698.4784</v>
      </c>
      <c r="J12" s="295"/>
      <c r="R12" s="267"/>
    </row>
    <row r="13" spans="1:18" x14ac:dyDescent="0.3">
      <c r="A13" s="297" t="s">
        <v>30</v>
      </c>
      <c r="B13" s="298"/>
      <c r="C13" s="298"/>
      <c r="D13" s="298"/>
      <c r="E13" s="298"/>
      <c r="F13" s="298"/>
      <c r="G13" s="298">
        <v>9000</v>
      </c>
      <c r="H13" s="298"/>
      <c r="I13" s="299">
        <v>9000</v>
      </c>
      <c r="J13" s="295"/>
      <c r="R13" s="267"/>
    </row>
    <row r="14" spans="1:18" x14ac:dyDescent="0.3">
      <c r="A14" s="297" t="s">
        <v>31</v>
      </c>
      <c r="B14" s="298"/>
      <c r="C14" s="298"/>
      <c r="D14" s="298"/>
      <c r="E14" s="298"/>
      <c r="F14" s="298"/>
      <c r="G14" s="298">
        <v>8000</v>
      </c>
      <c r="H14" s="298"/>
      <c r="I14" s="299">
        <v>8000</v>
      </c>
      <c r="J14" s="295"/>
    </row>
    <row r="15" spans="1:18" x14ac:dyDescent="0.3">
      <c r="A15" s="297" t="s">
        <v>32</v>
      </c>
      <c r="B15" s="298"/>
      <c r="C15" s="298"/>
      <c r="D15" s="298"/>
      <c r="E15" s="298"/>
      <c r="F15" s="298"/>
      <c r="G15" s="298">
        <v>12000</v>
      </c>
      <c r="H15" s="298"/>
      <c r="I15" s="299">
        <v>12000</v>
      </c>
      <c r="J15" s="295"/>
    </row>
    <row r="16" spans="1:18" x14ac:dyDescent="0.3">
      <c r="A16" s="297" t="s">
        <v>33</v>
      </c>
      <c r="B16" s="298"/>
      <c r="C16" s="298"/>
      <c r="D16" s="298"/>
      <c r="E16" s="298"/>
      <c r="F16" s="298"/>
      <c r="G16" s="298">
        <v>5000</v>
      </c>
      <c r="H16" s="298"/>
      <c r="I16" s="299">
        <v>5000</v>
      </c>
      <c r="J16" s="295"/>
    </row>
    <row r="17" spans="1:11" x14ac:dyDescent="0.3">
      <c r="A17" s="297" t="s">
        <v>34</v>
      </c>
      <c r="B17" s="298"/>
      <c r="C17" s="298"/>
      <c r="D17" s="298"/>
      <c r="E17" s="298"/>
      <c r="F17" s="298"/>
      <c r="G17" s="298">
        <v>6000</v>
      </c>
      <c r="H17" s="298"/>
      <c r="I17" s="299">
        <v>6000</v>
      </c>
      <c r="J17" s="295"/>
    </row>
    <row r="18" spans="1:11" x14ac:dyDescent="0.3">
      <c r="A18" s="297" t="s">
        <v>35</v>
      </c>
      <c r="B18" s="298"/>
      <c r="C18" s="298"/>
      <c r="D18" s="298"/>
      <c r="E18" s="298"/>
      <c r="F18" s="298"/>
      <c r="G18" s="298">
        <v>4000</v>
      </c>
      <c r="H18" s="298"/>
      <c r="I18" s="299">
        <v>4000</v>
      </c>
      <c r="J18" s="295"/>
    </row>
    <row r="19" spans="1:11" x14ac:dyDescent="0.3">
      <c r="A19" s="297" t="s">
        <v>36</v>
      </c>
      <c r="B19" s="298"/>
      <c r="C19" s="298"/>
      <c r="D19" s="298"/>
      <c r="E19" s="298"/>
      <c r="F19" s="298"/>
      <c r="G19" s="300">
        <v>6000</v>
      </c>
      <c r="H19" s="298"/>
      <c r="I19" s="301">
        <v>6000</v>
      </c>
      <c r="J19" s="295"/>
    </row>
    <row r="20" spans="1:11" x14ac:dyDescent="0.3">
      <c r="A20" s="304" t="s">
        <v>37</v>
      </c>
      <c r="B20" s="305"/>
      <c r="C20" s="305"/>
      <c r="D20" s="305"/>
      <c r="E20" s="305"/>
      <c r="F20" s="305"/>
      <c r="G20" s="306">
        <v>3000</v>
      </c>
      <c r="H20" s="305"/>
      <c r="I20" s="307">
        <v>3000</v>
      </c>
      <c r="J20" s="308"/>
    </row>
    <row r="21" spans="1:11" x14ac:dyDescent="0.3">
      <c r="A21" s="365" t="s">
        <v>181</v>
      </c>
      <c r="B21" s="366"/>
      <c r="C21" s="366"/>
      <c r="D21" s="366"/>
      <c r="E21" s="366"/>
      <c r="F21" s="366"/>
      <c r="G21" s="366"/>
      <c r="H21" s="366"/>
      <c r="I21" s="366"/>
      <c r="J21" s="367"/>
    </row>
    <row r="22" spans="1:11" x14ac:dyDescent="0.3">
      <c r="A22" s="309" t="s">
        <v>157</v>
      </c>
      <c r="B22" s="310">
        <v>184130</v>
      </c>
      <c r="C22" s="310">
        <v>290388</v>
      </c>
      <c r="D22" s="310">
        <v>43582</v>
      </c>
      <c r="E22" s="310">
        <v>16087</v>
      </c>
      <c r="F22" s="310">
        <v>38777</v>
      </c>
      <c r="G22" s="310">
        <v>1202</v>
      </c>
      <c r="H22" s="310">
        <v>60437</v>
      </c>
      <c r="I22" s="311">
        <f t="shared" ref="I22:I32" si="0">SUM(B22:H22)</f>
        <v>634603</v>
      </c>
      <c r="J22" s="312">
        <f>I22-B22</f>
        <v>450473</v>
      </c>
    </row>
    <row r="23" spans="1:11" x14ac:dyDescent="0.3">
      <c r="A23" s="302" t="s">
        <v>158</v>
      </c>
      <c r="B23" s="298">
        <v>171566</v>
      </c>
      <c r="C23" s="298">
        <v>266524</v>
      </c>
      <c r="D23" s="298">
        <v>33355</v>
      </c>
      <c r="E23" s="298">
        <v>3978</v>
      </c>
      <c r="F23" s="298">
        <v>31789</v>
      </c>
      <c r="G23" s="298">
        <v>2</v>
      </c>
      <c r="H23" s="298">
        <v>56325</v>
      </c>
      <c r="I23" s="299">
        <f t="shared" si="0"/>
        <v>563539</v>
      </c>
      <c r="J23" s="296">
        <f t="shared" ref="J23:J32" si="1">I23-B23</f>
        <v>391973</v>
      </c>
    </row>
    <row r="24" spans="1:11" x14ac:dyDescent="0.3">
      <c r="A24" s="302" t="s">
        <v>232</v>
      </c>
      <c r="B24" s="298">
        <v>176241</v>
      </c>
      <c r="C24" s="298">
        <v>268369</v>
      </c>
      <c r="D24" s="298">
        <v>22252</v>
      </c>
      <c r="E24" s="298">
        <v>10734</v>
      </c>
      <c r="F24" s="298">
        <v>29187</v>
      </c>
      <c r="G24" s="298">
        <v>6</v>
      </c>
      <c r="H24" s="298">
        <v>88803</v>
      </c>
      <c r="I24" s="299">
        <f t="shared" si="0"/>
        <v>595592</v>
      </c>
      <c r="J24" s="296">
        <f t="shared" si="1"/>
        <v>419351</v>
      </c>
    </row>
    <row r="25" spans="1:11" x14ac:dyDescent="0.3">
      <c r="A25" s="302" t="s">
        <v>236</v>
      </c>
      <c r="B25" s="298">
        <v>188380</v>
      </c>
      <c r="C25" s="298">
        <v>290205</v>
      </c>
      <c r="D25" s="298">
        <v>30105</v>
      </c>
      <c r="E25" s="298">
        <v>4443</v>
      </c>
      <c r="F25" s="298">
        <v>28056</v>
      </c>
      <c r="G25" s="298">
        <v>5</v>
      </c>
      <c r="H25" s="298">
        <v>78202</v>
      </c>
      <c r="I25" s="299">
        <f t="shared" si="0"/>
        <v>619396</v>
      </c>
      <c r="J25" s="296">
        <f t="shared" si="1"/>
        <v>431016</v>
      </c>
    </row>
    <row r="26" spans="1:11" x14ac:dyDescent="0.3">
      <c r="A26" s="302" t="s">
        <v>241</v>
      </c>
      <c r="B26" s="298">
        <v>205068</v>
      </c>
      <c r="C26" s="298">
        <v>301905</v>
      </c>
      <c r="D26" s="298">
        <v>36050</v>
      </c>
      <c r="E26" s="298">
        <v>3501</v>
      </c>
      <c r="F26" s="298">
        <v>25084</v>
      </c>
      <c r="G26" s="298">
        <v>10</v>
      </c>
      <c r="H26" s="298">
        <v>90768</v>
      </c>
      <c r="I26" s="299">
        <f t="shared" si="0"/>
        <v>662386</v>
      </c>
      <c r="J26" s="296">
        <f t="shared" si="1"/>
        <v>457318</v>
      </c>
    </row>
    <row r="27" spans="1:11" x14ac:dyDescent="0.3">
      <c r="A27" s="302" t="s">
        <v>247</v>
      </c>
      <c r="B27" s="298">
        <v>187890</v>
      </c>
      <c r="C27" s="298">
        <v>292219</v>
      </c>
      <c r="D27" s="298">
        <v>60971</v>
      </c>
      <c r="E27" s="298">
        <v>1830</v>
      </c>
      <c r="F27" s="298">
        <v>18790</v>
      </c>
      <c r="G27" s="298">
        <v>44</v>
      </c>
      <c r="H27" s="298">
        <v>59402</v>
      </c>
      <c r="I27" s="299">
        <f t="shared" si="0"/>
        <v>621146</v>
      </c>
      <c r="J27" s="296">
        <f t="shared" si="1"/>
        <v>433256</v>
      </c>
    </row>
    <row r="28" spans="1:11" x14ac:dyDescent="0.3">
      <c r="A28" s="302" t="s">
        <v>254</v>
      </c>
      <c r="B28" s="303">
        <v>201409</v>
      </c>
      <c r="C28" s="298">
        <v>296499</v>
      </c>
      <c r="D28" s="298">
        <v>45550</v>
      </c>
      <c r="E28" s="298">
        <v>2811</v>
      </c>
      <c r="F28" s="298">
        <v>21814</v>
      </c>
      <c r="G28" s="298">
        <v>8</v>
      </c>
      <c r="H28" s="298">
        <v>65765</v>
      </c>
      <c r="I28" s="299">
        <f t="shared" si="0"/>
        <v>633856</v>
      </c>
      <c r="J28" s="296">
        <f t="shared" si="1"/>
        <v>432447</v>
      </c>
    </row>
    <row r="29" spans="1:11" x14ac:dyDescent="0.3">
      <c r="A29" s="302" t="s">
        <v>255</v>
      </c>
      <c r="B29" s="303">
        <v>200829</v>
      </c>
      <c r="C29" s="298">
        <v>299683</v>
      </c>
      <c r="D29" s="298">
        <v>30016</v>
      </c>
      <c r="E29" s="298">
        <v>884</v>
      </c>
      <c r="F29" s="298">
        <v>15335</v>
      </c>
      <c r="G29" s="298">
        <v>9</v>
      </c>
      <c r="H29" s="298">
        <v>81444</v>
      </c>
      <c r="I29" s="299">
        <f t="shared" si="0"/>
        <v>628200</v>
      </c>
      <c r="J29" s="296">
        <f t="shared" si="1"/>
        <v>427371</v>
      </c>
      <c r="K29" s="273"/>
    </row>
    <row r="30" spans="1:11" x14ac:dyDescent="0.3">
      <c r="A30" s="304" t="s">
        <v>256</v>
      </c>
      <c r="B30" s="331">
        <v>197250</v>
      </c>
      <c r="C30" s="305">
        <v>310317</v>
      </c>
      <c r="D30" s="305">
        <v>29826</v>
      </c>
      <c r="E30" s="305">
        <v>1895</v>
      </c>
      <c r="F30" s="305">
        <v>17380</v>
      </c>
      <c r="G30" s="305">
        <v>13</v>
      </c>
      <c r="H30" s="305">
        <v>95560</v>
      </c>
      <c r="I30" s="329">
        <f t="shared" si="0"/>
        <v>652241</v>
      </c>
      <c r="J30" s="330">
        <f t="shared" si="1"/>
        <v>454991</v>
      </c>
      <c r="K30" s="273"/>
    </row>
    <row r="31" spans="1:11" x14ac:dyDescent="0.3">
      <c r="A31" s="332" t="s">
        <v>258</v>
      </c>
      <c r="B31" s="333">
        <v>245368</v>
      </c>
      <c r="C31" s="334">
        <v>343168</v>
      </c>
      <c r="D31" s="334">
        <v>31551</v>
      </c>
      <c r="E31" s="334">
        <v>10458</v>
      </c>
      <c r="F31" s="334">
        <v>14553</v>
      </c>
      <c r="G31" s="334">
        <v>10</v>
      </c>
      <c r="H31" s="334">
        <v>98278</v>
      </c>
      <c r="I31" s="335">
        <f t="shared" ref="I31" si="2">SUM(B31:H31)</f>
        <v>743386</v>
      </c>
      <c r="J31" s="336">
        <f t="shared" ref="J31" si="3">I31-B31</f>
        <v>498018</v>
      </c>
      <c r="K31" s="273"/>
    </row>
    <row r="32" spans="1:11" x14ac:dyDescent="0.3">
      <c r="A32" s="332" t="s">
        <v>264</v>
      </c>
      <c r="B32" s="333">
        <v>60109</v>
      </c>
      <c r="C32" s="334">
        <v>88677</v>
      </c>
      <c r="D32" s="334">
        <v>8702</v>
      </c>
      <c r="E32" s="334">
        <v>2873</v>
      </c>
      <c r="F32" s="334">
        <v>3659</v>
      </c>
      <c r="G32" s="334">
        <v>3</v>
      </c>
      <c r="H32" s="334">
        <v>23196</v>
      </c>
      <c r="I32" s="335">
        <f t="shared" si="0"/>
        <v>187219</v>
      </c>
      <c r="J32" s="336">
        <f t="shared" si="1"/>
        <v>127110</v>
      </c>
      <c r="K32" s="273"/>
    </row>
    <row r="33" spans="1:11" x14ac:dyDescent="0.3">
      <c r="A33" s="337"/>
      <c r="B33" s="338"/>
      <c r="C33" s="339"/>
      <c r="D33" s="339"/>
      <c r="E33" s="339"/>
      <c r="F33" s="339"/>
      <c r="G33" s="339"/>
      <c r="H33" s="339"/>
      <c r="I33" s="340"/>
      <c r="J33" s="341"/>
      <c r="K33" s="273"/>
    </row>
    <row r="34" spans="1:11" x14ac:dyDescent="0.3">
      <c r="A34" s="269" t="s">
        <v>234</v>
      </c>
      <c r="C34" s="268"/>
    </row>
    <row r="35" spans="1:11" x14ac:dyDescent="0.3">
      <c r="A35" s="270"/>
    </row>
    <row r="36" spans="1:11" x14ac:dyDescent="0.3">
      <c r="A36" s="271" t="s">
        <v>216</v>
      </c>
    </row>
    <row r="37" spans="1:11" x14ac:dyDescent="0.3">
      <c r="A37" s="272" t="s">
        <v>218</v>
      </c>
    </row>
    <row r="38" spans="1:11" x14ac:dyDescent="0.3">
      <c r="A38" s="272" t="s">
        <v>219</v>
      </c>
    </row>
    <row r="40" spans="1:11" x14ac:dyDescent="0.3">
      <c r="A40" s="270"/>
    </row>
    <row r="41" spans="1:11" x14ac:dyDescent="0.3">
      <c r="B41" s="274"/>
    </row>
  </sheetData>
  <mergeCells count="2">
    <mergeCell ref="A21:J21"/>
    <mergeCell ref="A3:J3"/>
  </mergeCells>
  <phoneticPr fontId="3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499984740745262"/>
  </sheetPr>
  <dimension ref="A4:B137"/>
  <sheetViews>
    <sheetView topLeftCell="A118" workbookViewId="0">
      <selection activeCell="A133" sqref="A133"/>
    </sheetView>
  </sheetViews>
  <sheetFormatPr defaultRowHeight="14.4" x14ac:dyDescent="0.3"/>
  <cols>
    <col min="2" max="2" width="91.44140625" style="1" customWidth="1"/>
  </cols>
  <sheetData>
    <row r="4" spans="1:2" x14ac:dyDescent="0.3">
      <c r="A4" t="s">
        <v>48</v>
      </c>
      <c r="B4" s="1" t="s">
        <v>66</v>
      </c>
    </row>
    <row r="5" spans="1:2" x14ac:dyDescent="0.3">
      <c r="B5" s="1" t="s">
        <v>67</v>
      </c>
    </row>
    <row r="6" spans="1:2" ht="28.8" x14ac:dyDescent="0.3">
      <c r="B6" s="1" t="s">
        <v>68</v>
      </c>
    </row>
    <row r="8" spans="1:2" x14ac:dyDescent="0.3">
      <c r="A8" t="s">
        <v>47</v>
      </c>
      <c r="B8" s="1" t="s">
        <v>69</v>
      </c>
    </row>
    <row r="9" spans="1:2" x14ac:dyDescent="0.3">
      <c r="B9" s="1" t="s">
        <v>70</v>
      </c>
    </row>
    <row r="10" spans="1:2" x14ac:dyDescent="0.3">
      <c r="B10" s="1" t="s">
        <v>71</v>
      </c>
    </row>
    <row r="11" spans="1:2" ht="72" x14ac:dyDescent="0.3">
      <c r="B11" s="1" t="s">
        <v>235</v>
      </c>
    </row>
    <row r="13" spans="1:2" x14ac:dyDescent="0.3">
      <c r="A13" t="s">
        <v>46</v>
      </c>
      <c r="B13" s="1" t="s">
        <v>69</v>
      </c>
    </row>
    <row r="14" spans="1:2" x14ac:dyDescent="0.3">
      <c r="B14" s="1" t="s">
        <v>70</v>
      </c>
    </row>
    <row r="15" spans="1:2" ht="28.8" x14ac:dyDescent="0.3">
      <c r="B15" s="1" t="s">
        <v>72</v>
      </c>
    </row>
    <row r="17" spans="1:2" x14ac:dyDescent="0.3">
      <c r="A17" t="s">
        <v>45</v>
      </c>
      <c r="B17" s="1" t="s">
        <v>69</v>
      </c>
    </row>
    <row r="18" spans="1:2" x14ac:dyDescent="0.3">
      <c r="B18" s="1" t="s">
        <v>73</v>
      </c>
    </row>
    <row r="19" spans="1:2" x14ac:dyDescent="0.3">
      <c r="B19" s="1" t="s">
        <v>74</v>
      </c>
    </row>
    <row r="20" spans="1:2" x14ac:dyDescent="0.3">
      <c r="B20" s="1" t="s">
        <v>75</v>
      </c>
    </row>
    <row r="22" spans="1:2" x14ac:dyDescent="0.3">
      <c r="A22" t="s">
        <v>44</v>
      </c>
      <c r="B22" s="1" t="s">
        <v>76</v>
      </c>
    </row>
    <row r="23" spans="1:2" x14ac:dyDescent="0.3">
      <c r="B23" s="1" t="s">
        <v>77</v>
      </c>
    </row>
    <row r="24" spans="1:2" x14ac:dyDescent="0.3">
      <c r="B24" s="1" t="s">
        <v>81</v>
      </c>
    </row>
    <row r="25" spans="1:2" x14ac:dyDescent="0.3">
      <c r="B25" s="1" t="s">
        <v>78</v>
      </c>
    </row>
    <row r="26" spans="1:2" x14ac:dyDescent="0.3">
      <c r="B26" s="1" t="s">
        <v>80</v>
      </c>
    </row>
    <row r="27" spans="1:2" ht="28.8" x14ac:dyDescent="0.3">
      <c r="B27" s="1" t="s">
        <v>79</v>
      </c>
    </row>
    <row r="28" spans="1:2" ht="28.8" x14ac:dyDescent="0.3">
      <c r="B28" s="1" t="s">
        <v>82</v>
      </c>
    </row>
    <row r="29" spans="1:2" x14ac:dyDescent="0.3">
      <c r="B29" s="1" t="s">
        <v>83</v>
      </c>
    </row>
    <row r="31" spans="1:2" x14ac:dyDescent="0.3">
      <c r="A31" t="s">
        <v>43</v>
      </c>
      <c r="B31" s="1" t="s">
        <v>84</v>
      </c>
    </row>
    <row r="32" spans="1:2" ht="28.8" x14ac:dyDescent="0.3">
      <c r="B32" s="1" t="s">
        <v>85</v>
      </c>
    </row>
    <row r="34" spans="1:2" x14ac:dyDescent="0.3">
      <c r="A34" t="s">
        <v>41</v>
      </c>
      <c r="B34" s="1" t="s">
        <v>122</v>
      </c>
    </row>
    <row r="35" spans="1:2" x14ac:dyDescent="0.3">
      <c r="B35" s="1" t="s">
        <v>86</v>
      </c>
    </row>
    <row r="36" spans="1:2" ht="28.8" x14ac:dyDescent="0.3">
      <c r="B36" s="1" t="s">
        <v>87</v>
      </c>
    </row>
    <row r="38" spans="1:2" x14ac:dyDescent="0.3">
      <c r="A38" t="s">
        <v>40</v>
      </c>
      <c r="B38" s="1" t="s">
        <v>69</v>
      </c>
    </row>
    <row r="40" spans="1:2" x14ac:dyDescent="0.3">
      <c r="A40" t="s">
        <v>38</v>
      </c>
      <c r="B40" s="1" t="s">
        <v>88</v>
      </c>
    </row>
    <row r="42" spans="1:2" ht="28.8" x14ac:dyDescent="0.3">
      <c r="A42" t="s">
        <v>37</v>
      </c>
      <c r="B42" s="1" t="s">
        <v>90</v>
      </c>
    </row>
    <row r="43" spans="1:2" ht="28.8" x14ac:dyDescent="0.3">
      <c r="B43" s="1" t="s">
        <v>91</v>
      </c>
    </row>
    <row r="44" spans="1:2" ht="28.8" x14ac:dyDescent="0.3">
      <c r="B44" s="1" t="s">
        <v>92</v>
      </c>
    </row>
    <row r="46" spans="1:2" x14ac:dyDescent="0.3">
      <c r="A46" t="s">
        <v>35</v>
      </c>
      <c r="B46" s="1" t="s">
        <v>97</v>
      </c>
    </row>
    <row r="47" spans="1:2" ht="28.8" x14ac:dyDescent="0.3">
      <c r="B47" s="1" t="s">
        <v>98</v>
      </c>
    </row>
    <row r="49" spans="1:2" x14ac:dyDescent="0.3">
      <c r="A49" t="s">
        <v>34</v>
      </c>
      <c r="B49" s="1" t="s">
        <v>93</v>
      </c>
    </row>
    <row r="50" spans="1:2" x14ac:dyDescent="0.3">
      <c r="B50" s="1" t="s">
        <v>94</v>
      </c>
    </row>
    <row r="51" spans="1:2" ht="28.8" x14ac:dyDescent="0.3">
      <c r="B51" s="1" t="s">
        <v>95</v>
      </c>
    </row>
    <row r="52" spans="1:2" ht="28.8" x14ac:dyDescent="0.3">
      <c r="B52" s="1" t="s">
        <v>96</v>
      </c>
    </row>
    <row r="54" spans="1:2" x14ac:dyDescent="0.3">
      <c r="A54" t="s">
        <v>33</v>
      </c>
      <c r="B54" s="2" t="s">
        <v>100</v>
      </c>
    </row>
    <row r="55" spans="1:2" ht="28.8" x14ac:dyDescent="0.3">
      <c r="B55" s="1" t="s">
        <v>101</v>
      </c>
    </row>
    <row r="57" spans="1:2" ht="28.8" x14ac:dyDescent="0.3">
      <c r="A57" t="s">
        <v>32</v>
      </c>
      <c r="B57" s="1" t="s">
        <v>102</v>
      </c>
    </row>
    <row r="58" spans="1:2" x14ac:dyDescent="0.3">
      <c r="B58" s="1" t="s">
        <v>103</v>
      </c>
    </row>
    <row r="59" spans="1:2" ht="28.8" x14ac:dyDescent="0.3">
      <c r="B59" s="1" t="s">
        <v>104</v>
      </c>
    </row>
    <row r="60" spans="1:2" x14ac:dyDescent="0.3">
      <c r="B60" s="1" t="s">
        <v>105</v>
      </c>
    </row>
    <row r="61" spans="1:2" x14ac:dyDescent="0.3">
      <c r="B61" s="1" t="s">
        <v>106</v>
      </c>
    </row>
    <row r="62" spans="1:2" x14ac:dyDescent="0.3">
      <c r="B62" s="3" t="s">
        <v>107</v>
      </c>
    </row>
    <row r="64" spans="1:2" x14ac:dyDescent="0.3">
      <c r="A64" t="s">
        <v>31</v>
      </c>
      <c r="B64" s="2" t="s">
        <v>108</v>
      </c>
    </row>
    <row r="65" spans="1:2" x14ac:dyDescent="0.3">
      <c r="B65" s="1" t="s">
        <v>109</v>
      </c>
    </row>
    <row r="66" spans="1:2" x14ac:dyDescent="0.3">
      <c r="B66" s="3" t="s">
        <v>110</v>
      </c>
    </row>
    <row r="67" spans="1:2" x14ac:dyDescent="0.3">
      <c r="B67" s="1" t="s">
        <v>111</v>
      </c>
    </row>
    <row r="68" spans="1:2" ht="28.8" x14ac:dyDescent="0.3">
      <c r="B68" s="1" t="s">
        <v>112</v>
      </c>
    </row>
    <row r="69" spans="1:2" x14ac:dyDescent="0.3">
      <c r="B69" s="1" t="s">
        <v>113</v>
      </c>
    </row>
    <row r="71" spans="1:2" x14ac:dyDescent="0.3">
      <c r="A71" t="s">
        <v>30</v>
      </c>
      <c r="B71" s="1" t="s">
        <v>114</v>
      </c>
    </row>
    <row r="72" spans="1:2" x14ac:dyDescent="0.3">
      <c r="B72" s="1" t="s">
        <v>115</v>
      </c>
    </row>
    <row r="73" spans="1:2" ht="28.8" x14ac:dyDescent="0.3">
      <c r="B73" s="1" t="s">
        <v>116</v>
      </c>
    </row>
    <row r="74" spans="1:2" x14ac:dyDescent="0.3">
      <c r="B74" s="3" t="s">
        <v>117</v>
      </c>
    </row>
    <row r="76" spans="1:2" ht="28.8" x14ac:dyDescent="0.3">
      <c r="A76" t="s">
        <v>29</v>
      </c>
      <c r="B76" s="1" t="s">
        <v>118</v>
      </c>
    </row>
    <row r="77" spans="1:2" ht="28.8" x14ac:dyDescent="0.3">
      <c r="B77" s="1" t="s">
        <v>119</v>
      </c>
    </row>
    <row r="78" spans="1:2" x14ac:dyDescent="0.3">
      <c r="B78" s="3" t="s">
        <v>120</v>
      </c>
    </row>
    <row r="79" spans="1:2" ht="28.8" x14ac:dyDescent="0.3">
      <c r="B79" s="1" t="s">
        <v>121</v>
      </c>
    </row>
    <row r="81" spans="1:2" x14ac:dyDescent="0.3">
      <c r="A81" t="s">
        <v>28</v>
      </c>
      <c r="B81" s="1" t="s">
        <v>123</v>
      </c>
    </row>
    <row r="82" spans="1:2" x14ac:dyDescent="0.3">
      <c r="B82" s="1" t="s">
        <v>124</v>
      </c>
    </row>
    <row r="83" spans="1:2" ht="28.8" x14ac:dyDescent="0.3">
      <c r="B83" s="1" t="s">
        <v>125</v>
      </c>
    </row>
    <row r="84" spans="1:2" ht="28.8" x14ac:dyDescent="0.3">
      <c r="B84" s="1" t="s">
        <v>126</v>
      </c>
    </row>
    <row r="86" spans="1:2" ht="43.2" x14ac:dyDescent="0.3">
      <c r="A86" t="s">
        <v>27</v>
      </c>
      <c r="B86" s="1" t="s">
        <v>127</v>
      </c>
    </row>
    <row r="87" spans="1:2" x14ac:dyDescent="0.3">
      <c r="B87" s="1" t="s">
        <v>129</v>
      </c>
    </row>
    <row r="88" spans="1:2" ht="28.8" x14ac:dyDescent="0.3">
      <c r="B88" s="1" t="s">
        <v>130</v>
      </c>
    </row>
    <row r="89" spans="1:2" x14ac:dyDescent="0.3">
      <c r="B89" s="1" t="s">
        <v>132</v>
      </c>
    </row>
    <row r="90" spans="1:2" ht="86.4" x14ac:dyDescent="0.3">
      <c r="B90" s="1" t="s">
        <v>131</v>
      </c>
    </row>
    <row r="92" spans="1:2" x14ac:dyDescent="0.3">
      <c r="A92" t="s">
        <v>26</v>
      </c>
      <c r="B92" s="1" t="s">
        <v>133</v>
      </c>
    </row>
    <row r="93" spans="1:2" x14ac:dyDescent="0.3">
      <c r="B93" s="2" t="s">
        <v>134</v>
      </c>
    </row>
    <row r="94" spans="1:2" x14ac:dyDescent="0.3">
      <c r="B94" s="1" t="s">
        <v>135</v>
      </c>
    </row>
    <row r="95" spans="1:2" x14ac:dyDescent="0.3">
      <c r="B95" s="1" t="s">
        <v>136</v>
      </c>
    </row>
    <row r="96" spans="1:2" ht="28.8" x14ac:dyDescent="0.3">
      <c r="B96" s="1" t="s">
        <v>146</v>
      </c>
    </row>
    <row r="97" spans="1:2" ht="28.8" x14ac:dyDescent="0.3">
      <c r="B97" s="1" t="s">
        <v>137</v>
      </c>
    </row>
    <row r="98" spans="1:2" x14ac:dyDescent="0.3">
      <c r="B98" s="1" t="s">
        <v>138</v>
      </c>
    </row>
    <row r="100" spans="1:2" x14ac:dyDescent="0.3">
      <c r="A100" t="s">
        <v>25</v>
      </c>
      <c r="B100" s="1" t="s">
        <v>139</v>
      </c>
    </row>
    <row r="102" spans="1:2" x14ac:dyDescent="0.3">
      <c r="A102" t="s">
        <v>24</v>
      </c>
      <c r="B102" s="1" t="s">
        <v>128</v>
      </c>
    </row>
    <row r="103" spans="1:2" x14ac:dyDescent="0.3">
      <c r="B103" s="1" t="s">
        <v>140</v>
      </c>
    </row>
    <row r="104" spans="1:2" ht="43.2" x14ac:dyDescent="0.3">
      <c r="B104" s="1" t="s">
        <v>141</v>
      </c>
    </row>
    <row r="105" spans="1:2" x14ac:dyDescent="0.3">
      <c r="B105" s="1" t="s">
        <v>142</v>
      </c>
    </row>
    <row r="107" spans="1:2" ht="57.6" x14ac:dyDescent="0.3">
      <c r="B107" s="4" t="s">
        <v>143</v>
      </c>
    </row>
    <row r="109" spans="1:2" x14ac:dyDescent="0.3">
      <c r="B109" s="2" t="s">
        <v>144</v>
      </c>
    </row>
    <row r="110" spans="1:2" x14ac:dyDescent="0.3">
      <c r="B110" s="1" t="s">
        <v>145</v>
      </c>
    </row>
    <row r="111" spans="1:2" x14ac:dyDescent="0.3">
      <c r="A111" t="s">
        <v>23</v>
      </c>
      <c r="B111" s="1" t="s">
        <v>147</v>
      </c>
    </row>
    <row r="112" spans="1:2" ht="72" x14ac:dyDescent="0.3">
      <c r="B112" s="1" t="s">
        <v>148</v>
      </c>
    </row>
    <row r="114" spans="1:2" x14ac:dyDescent="0.3">
      <c r="A114" t="s">
        <v>20</v>
      </c>
      <c r="B114" s="1" t="s">
        <v>149</v>
      </c>
    </row>
    <row r="116" spans="1:2" ht="28.8" x14ac:dyDescent="0.3">
      <c r="A116" t="s">
        <v>17</v>
      </c>
      <c r="B116" s="1" t="s">
        <v>150</v>
      </c>
    </row>
    <row r="117" spans="1:2" x14ac:dyDescent="0.3">
      <c r="B117" s="1" t="s">
        <v>151</v>
      </c>
    </row>
    <row r="118" spans="1:2" ht="57.6" x14ac:dyDescent="0.3">
      <c r="B118" s="1" t="s">
        <v>152</v>
      </c>
    </row>
    <row r="119" spans="1:2" ht="28.8" x14ac:dyDescent="0.3">
      <c r="B119" s="1" t="s">
        <v>153</v>
      </c>
    </row>
    <row r="120" spans="1:2" x14ac:dyDescent="0.3">
      <c r="B120" s="1" t="s">
        <v>154</v>
      </c>
    </row>
    <row r="121" spans="1:2" ht="43.2" x14ac:dyDescent="0.3">
      <c r="B121" s="1" t="s">
        <v>155</v>
      </c>
    </row>
    <row r="123" spans="1:2" x14ac:dyDescent="0.3">
      <c r="A123" t="s">
        <v>16</v>
      </c>
      <c r="B123" s="1" t="s">
        <v>156</v>
      </c>
    </row>
    <row r="125" spans="1:2" ht="31.2" x14ac:dyDescent="0.3">
      <c r="A125" s="173" t="s">
        <v>245</v>
      </c>
      <c r="B125" s="172" t="s">
        <v>242</v>
      </c>
    </row>
    <row r="126" spans="1:2" x14ac:dyDescent="0.3">
      <c r="B126" s="1" t="s">
        <v>243</v>
      </c>
    </row>
    <row r="128" spans="1:2" x14ac:dyDescent="0.3">
      <c r="A128" t="s">
        <v>237</v>
      </c>
      <c r="B128" s="1" t="s">
        <v>238</v>
      </c>
    </row>
    <row r="130" spans="1:2" x14ac:dyDescent="0.3">
      <c r="A130">
        <v>2020</v>
      </c>
      <c r="B130" s="1" t="s">
        <v>239</v>
      </c>
    </row>
    <row r="131" spans="1:2" x14ac:dyDescent="0.3">
      <c r="A131" s="171"/>
    </row>
    <row r="132" spans="1:2" ht="43.2" x14ac:dyDescent="0.3">
      <c r="A132" s="171" t="s">
        <v>246</v>
      </c>
      <c r="B132" s="1" t="s">
        <v>244</v>
      </c>
    </row>
    <row r="133" spans="1:2" x14ac:dyDescent="0.3">
      <c r="B133" s="1" t="s">
        <v>243</v>
      </c>
    </row>
    <row r="137" spans="1:2" x14ac:dyDescent="0.3">
      <c r="A137">
        <v>2020</v>
      </c>
      <c r="B137" s="1" t="s">
        <v>240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O60"/>
  <sheetViews>
    <sheetView zoomScaleNormal="100" workbookViewId="0">
      <pane xSplit="1" ySplit="3" topLeftCell="B37" activePane="bottomRight" state="frozen"/>
      <selection pane="topRight" activeCell="B1" sqref="B1"/>
      <selection pane="bottomLeft" activeCell="A4" sqref="A4"/>
      <selection pane="bottomRight" activeCell="E44" sqref="E44"/>
    </sheetView>
  </sheetViews>
  <sheetFormatPr defaultColWidth="9.109375" defaultRowHeight="13.8" x14ac:dyDescent="0.25"/>
  <cols>
    <col min="1" max="1" width="15.6640625" style="5" customWidth="1"/>
    <col min="2" max="5" width="12.6640625" style="27" customWidth="1"/>
    <col min="6" max="6" width="2.44140625" style="27" customWidth="1"/>
    <col min="7" max="7" width="10.6640625" style="27" customWidth="1"/>
    <col min="8" max="8" width="12.6640625" style="27" customWidth="1"/>
    <col min="9" max="9" width="2.44140625" style="27" customWidth="1"/>
    <col min="10" max="10" width="10.6640625" style="27" customWidth="1"/>
    <col min="11" max="14" width="12.6640625" style="27" customWidth="1"/>
    <col min="15" max="15" width="12" style="5" bestFit="1" customWidth="1"/>
    <col min="16" max="16384" width="9.109375" style="5"/>
  </cols>
  <sheetData>
    <row r="1" spans="1:15" ht="40.5" customHeight="1" thickBot="1" x14ac:dyDescent="0.3">
      <c r="A1" s="371" t="s">
        <v>183</v>
      </c>
      <c r="B1" s="371"/>
      <c r="C1" s="371"/>
      <c r="D1" s="371"/>
      <c r="E1" s="371"/>
      <c r="F1" s="371"/>
      <c r="G1" s="371"/>
      <c r="H1" s="371"/>
      <c r="I1" s="371"/>
      <c r="J1" s="371"/>
      <c r="K1" s="371"/>
      <c r="L1" s="371"/>
      <c r="M1" s="371"/>
      <c r="N1" s="371"/>
    </row>
    <row r="2" spans="1:15" s="75" customFormat="1" ht="55.8" thickBot="1" x14ac:dyDescent="0.35">
      <c r="A2" s="78" t="s">
        <v>14</v>
      </c>
      <c r="B2" s="79" t="s">
        <v>5</v>
      </c>
      <c r="C2" s="79" t="s">
        <v>6</v>
      </c>
      <c r="D2" s="79" t="s">
        <v>7</v>
      </c>
      <c r="E2" s="79" t="s">
        <v>8</v>
      </c>
      <c r="F2" s="80"/>
      <c r="G2" s="81" t="s">
        <v>9</v>
      </c>
      <c r="H2" s="79" t="s">
        <v>10</v>
      </c>
      <c r="I2" s="80"/>
      <c r="J2" s="81" t="s">
        <v>11</v>
      </c>
      <c r="K2" s="79" t="s">
        <v>12</v>
      </c>
      <c r="L2" s="79" t="s">
        <v>60</v>
      </c>
      <c r="M2" s="79" t="s">
        <v>171</v>
      </c>
      <c r="N2" s="82" t="s">
        <v>167</v>
      </c>
    </row>
    <row r="3" spans="1:15" ht="18.600000000000001" thickBot="1" x14ac:dyDescent="0.4">
      <c r="A3" s="372" t="s">
        <v>166</v>
      </c>
      <c r="B3" s="373"/>
      <c r="C3" s="373"/>
      <c r="D3" s="373"/>
      <c r="E3" s="373"/>
      <c r="F3" s="373"/>
      <c r="G3" s="373"/>
      <c r="H3" s="373"/>
      <c r="I3" s="373"/>
      <c r="J3" s="373"/>
      <c r="K3" s="373"/>
      <c r="L3" s="373"/>
      <c r="M3" s="373"/>
      <c r="N3" s="374"/>
    </row>
    <row r="4" spans="1:15" x14ac:dyDescent="0.25">
      <c r="A4" s="160" t="s">
        <v>0</v>
      </c>
      <c r="B4" s="26">
        <v>0</v>
      </c>
      <c r="C4" s="26">
        <v>49713.683199999999</v>
      </c>
      <c r="D4" s="26">
        <v>8346.0928000000004</v>
      </c>
      <c r="E4" s="26">
        <v>43272.676799999994</v>
      </c>
      <c r="F4" s="161"/>
      <c r="G4" s="158"/>
      <c r="H4" s="159"/>
      <c r="I4" s="162"/>
      <c r="J4" s="158"/>
      <c r="K4" s="159"/>
      <c r="L4" s="159"/>
      <c r="M4" s="26">
        <v>1184237.9935999999</v>
      </c>
      <c r="N4" s="163">
        <f t="shared" ref="N4:N51" si="0">SUM(B4:M4)</f>
        <v>1285570.4464</v>
      </c>
      <c r="O4" s="27"/>
    </row>
    <row r="5" spans="1:15" x14ac:dyDescent="0.25">
      <c r="A5" s="21" t="s">
        <v>1</v>
      </c>
      <c r="B5" s="25">
        <v>0</v>
      </c>
      <c r="C5" s="25">
        <v>65226.529600000002</v>
      </c>
      <c r="D5" s="25">
        <v>10069.742400000001</v>
      </c>
      <c r="E5" s="25">
        <v>46538.539200000007</v>
      </c>
      <c r="F5" s="155"/>
      <c r="G5" s="153"/>
      <c r="H5" s="154"/>
      <c r="I5" s="155"/>
      <c r="J5" s="153"/>
      <c r="K5" s="154"/>
      <c r="L5" s="154"/>
      <c r="M5" s="25">
        <v>1166003.5952000001</v>
      </c>
      <c r="N5" s="148">
        <f t="shared" si="0"/>
        <v>1287838.4064000002</v>
      </c>
    </row>
    <row r="6" spans="1:15" x14ac:dyDescent="0.25">
      <c r="A6" s="21" t="s">
        <v>2</v>
      </c>
      <c r="B6" s="25">
        <v>0</v>
      </c>
      <c r="C6" s="25">
        <v>59964.862399999998</v>
      </c>
      <c r="D6" s="25">
        <v>5987.4144000000006</v>
      </c>
      <c r="E6" s="25">
        <v>47990.033600000002</v>
      </c>
      <c r="F6" s="155"/>
      <c r="G6" s="153"/>
      <c r="H6" s="154"/>
      <c r="I6" s="155"/>
      <c r="J6" s="153"/>
      <c r="K6" s="154"/>
      <c r="L6" s="154"/>
      <c r="M6" s="25">
        <v>1125089.5967999999</v>
      </c>
      <c r="N6" s="148">
        <f t="shared" si="0"/>
        <v>1239031.9072</v>
      </c>
    </row>
    <row r="7" spans="1:15" x14ac:dyDescent="0.25">
      <c r="A7" s="21" t="s">
        <v>3</v>
      </c>
      <c r="B7" s="25">
        <v>0</v>
      </c>
      <c r="C7" s="25">
        <v>57696.902399999999</v>
      </c>
      <c r="D7" s="25">
        <v>6894.5984000000008</v>
      </c>
      <c r="E7" s="25">
        <v>56880.436799999996</v>
      </c>
      <c r="F7" s="155"/>
      <c r="G7" s="153"/>
      <c r="H7" s="154"/>
      <c r="I7" s="155"/>
      <c r="J7" s="153"/>
      <c r="K7" s="154"/>
      <c r="L7" s="154"/>
      <c r="M7" s="25">
        <v>987016.19200000004</v>
      </c>
      <c r="N7" s="148">
        <f t="shared" si="0"/>
        <v>1108488.1296000001</v>
      </c>
    </row>
    <row r="8" spans="1:15" x14ac:dyDescent="0.25">
      <c r="A8" s="21" t="s">
        <v>4</v>
      </c>
      <c r="B8" s="25">
        <v>0</v>
      </c>
      <c r="C8" s="25">
        <v>57696.902399999999</v>
      </c>
      <c r="D8" s="25">
        <v>6894.5984000000008</v>
      </c>
      <c r="E8" s="25">
        <v>56880.436799999996</v>
      </c>
      <c r="F8" s="155"/>
      <c r="G8" s="153"/>
      <c r="H8" s="154"/>
      <c r="I8" s="155"/>
      <c r="J8" s="153"/>
      <c r="K8" s="154"/>
      <c r="L8" s="154"/>
      <c r="M8" s="25">
        <v>987016.19200000004</v>
      </c>
      <c r="N8" s="148">
        <f t="shared" si="0"/>
        <v>1108488.1296000001</v>
      </c>
    </row>
    <row r="9" spans="1:15" x14ac:dyDescent="0.25">
      <c r="A9" s="21" t="s">
        <v>15</v>
      </c>
      <c r="B9" s="25">
        <v>0</v>
      </c>
      <c r="C9" s="25">
        <v>56699</v>
      </c>
      <c r="D9" s="25">
        <v>18052.961600000002</v>
      </c>
      <c r="E9" s="25">
        <v>55973.252799999995</v>
      </c>
      <c r="F9" s="155"/>
      <c r="G9" s="153"/>
      <c r="H9" s="154"/>
      <c r="I9" s="155"/>
      <c r="J9" s="153"/>
      <c r="K9" s="154"/>
      <c r="L9" s="154"/>
      <c r="M9" s="25">
        <v>1187685.2927999999</v>
      </c>
      <c r="N9" s="148">
        <f t="shared" si="0"/>
        <v>1318410.5071999999</v>
      </c>
    </row>
    <row r="10" spans="1:15" x14ac:dyDescent="0.25">
      <c r="A10" s="21" t="s">
        <v>16</v>
      </c>
      <c r="B10" s="25">
        <v>95707.911999999997</v>
      </c>
      <c r="C10" s="25">
        <v>59601.988799999999</v>
      </c>
      <c r="D10" s="25">
        <v>21046.668799999999</v>
      </c>
      <c r="E10" s="25">
        <v>60781.328000000001</v>
      </c>
      <c r="F10" s="155"/>
      <c r="G10" s="153"/>
      <c r="H10" s="154"/>
      <c r="I10" s="155"/>
      <c r="J10" s="153"/>
      <c r="K10" s="154"/>
      <c r="L10" s="154"/>
      <c r="M10" s="25">
        <v>1279855.1872</v>
      </c>
      <c r="N10" s="148">
        <f t="shared" si="0"/>
        <v>1516993.0848000001</v>
      </c>
    </row>
    <row r="11" spans="1:15" x14ac:dyDescent="0.25">
      <c r="A11" s="21" t="s">
        <v>17</v>
      </c>
      <c r="B11" s="25">
        <v>102511.792</v>
      </c>
      <c r="C11" s="25">
        <v>59148.396799999995</v>
      </c>
      <c r="D11" s="25">
        <v>24584.686399999999</v>
      </c>
      <c r="E11" s="25">
        <v>59964.862399999998</v>
      </c>
      <c r="F11" s="155"/>
      <c r="G11" s="153"/>
      <c r="H11" s="154"/>
      <c r="I11" s="155"/>
      <c r="J11" s="153"/>
      <c r="K11" s="154"/>
      <c r="L11" s="154"/>
      <c r="M11" s="25">
        <v>1316596.1392000001</v>
      </c>
      <c r="N11" s="148">
        <f t="shared" si="0"/>
        <v>1562805.8768000002</v>
      </c>
    </row>
    <row r="12" spans="1:15" x14ac:dyDescent="0.25">
      <c r="A12" s="21" t="s">
        <v>18</v>
      </c>
      <c r="B12" s="25">
        <v>95980.067200000005</v>
      </c>
      <c r="C12" s="25">
        <v>54975.350399999996</v>
      </c>
      <c r="D12" s="25">
        <v>26308.335999999999</v>
      </c>
      <c r="E12" s="25">
        <v>64591.500799999994</v>
      </c>
      <c r="F12" s="155"/>
      <c r="G12" s="153"/>
      <c r="H12" s="154"/>
      <c r="I12" s="155"/>
      <c r="J12" s="153"/>
      <c r="K12" s="154"/>
      <c r="L12" s="154"/>
      <c r="M12" s="25">
        <v>1276317.1695999999</v>
      </c>
      <c r="N12" s="148">
        <f t="shared" si="0"/>
        <v>1518172.4239999999</v>
      </c>
    </row>
    <row r="13" spans="1:15" x14ac:dyDescent="0.25">
      <c r="A13" s="21" t="s">
        <v>19</v>
      </c>
      <c r="B13" s="25">
        <v>121109.064</v>
      </c>
      <c r="C13" s="25">
        <v>53977.447999999997</v>
      </c>
      <c r="D13" s="25">
        <v>31479.284800000001</v>
      </c>
      <c r="E13" s="25">
        <v>69671.731200000009</v>
      </c>
      <c r="F13" s="155"/>
      <c r="G13" s="153"/>
      <c r="H13" s="154"/>
      <c r="I13" s="155"/>
      <c r="J13" s="153"/>
      <c r="K13" s="154"/>
      <c r="L13" s="154"/>
      <c r="M13" s="25">
        <v>1430175.5759999999</v>
      </c>
      <c r="N13" s="148">
        <f t="shared" si="0"/>
        <v>1706413.1039999998</v>
      </c>
    </row>
    <row r="14" spans="1:15" x14ac:dyDescent="0.25">
      <c r="A14" s="21" t="s">
        <v>20</v>
      </c>
      <c r="B14" s="25">
        <v>79922.910400000008</v>
      </c>
      <c r="C14" s="25">
        <v>49350.809600000001</v>
      </c>
      <c r="D14" s="25">
        <v>22316.7264</v>
      </c>
      <c r="E14" s="25">
        <v>68310.955199999997</v>
      </c>
      <c r="F14" s="155"/>
      <c r="G14" s="153"/>
      <c r="H14" s="154"/>
      <c r="I14" s="155"/>
      <c r="J14" s="153"/>
      <c r="K14" s="154"/>
      <c r="L14" s="154"/>
      <c r="M14" s="25">
        <v>1443148.3072000002</v>
      </c>
      <c r="N14" s="148">
        <f t="shared" si="0"/>
        <v>1663049.7088000001</v>
      </c>
    </row>
    <row r="15" spans="1:15" x14ac:dyDescent="0.25">
      <c r="A15" s="21" t="s">
        <v>21</v>
      </c>
      <c r="B15" s="25">
        <v>72211.846400000009</v>
      </c>
      <c r="C15" s="25">
        <v>44724.171200000004</v>
      </c>
      <c r="D15" s="25">
        <v>21409.542399999998</v>
      </c>
      <c r="E15" s="25">
        <v>72937.593599999993</v>
      </c>
      <c r="F15" s="76"/>
      <c r="G15" s="77">
        <v>386460.38400000002</v>
      </c>
      <c r="H15" s="25">
        <v>382196.61920000002</v>
      </c>
      <c r="I15" s="83"/>
      <c r="J15" s="77"/>
      <c r="K15" s="25">
        <v>371764.00319999998</v>
      </c>
      <c r="L15" s="25">
        <v>121834.8112</v>
      </c>
      <c r="M15" s="33"/>
      <c r="N15" s="148">
        <f t="shared" si="0"/>
        <v>1473538.9712</v>
      </c>
    </row>
    <row r="16" spans="1:15" x14ac:dyDescent="0.25">
      <c r="A16" s="21" t="s">
        <v>22</v>
      </c>
      <c r="B16" s="25">
        <v>78289.979200000002</v>
      </c>
      <c r="C16" s="25">
        <v>46175.6656</v>
      </c>
      <c r="D16" s="25">
        <v>25582.588800000001</v>
      </c>
      <c r="E16" s="25">
        <v>76657.047999999995</v>
      </c>
      <c r="F16" s="76"/>
      <c r="G16" s="77">
        <v>363780.78399999999</v>
      </c>
      <c r="H16" s="25">
        <v>379021.47519999999</v>
      </c>
      <c r="I16" s="83"/>
      <c r="J16" s="77"/>
      <c r="K16" s="25">
        <v>349900.8688</v>
      </c>
      <c r="L16" s="25">
        <v>113670.15520000001</v>
      </c>
      <c r="M16" s="33"/>
      <c r="N16" s="148">
        <f t="shared" si="0"/>
        <v>1433078.5647999998</v>
      </c>
    </row>
    <row r="17" spans="1:14" x14ac:dyDescent="0.25">
      <c r="A17" s="21" t="s">
        <v>23</v>
      </c>
      <c r="B17" s="25">
        <v>83460.928</v>
      </c>
      <c r="C17" s="25">
        <v>46901.412799999998</v>
      </c>
      <c r="D17" s="25">
        <v>38192.446400000001</v>
      </c>
      <c r="E17" s="25">
        <v>83460.928</v>
      </c>
      <c r="F17" s="76"/>
      <c r="G17" s="77">
        <v>421024.0944</v>
      </c>
      <c r="H17" s="25">
        <v>450870.44799999997</v>
      </c>
      <c r="I17" s="83"/>
      <c r="J17" s="77"/>
      <c r="K17" s="25">
        <v>338107.4768</v>
      </c>
      <c r="L17" s="25">
        <v>98610.900800000003</v>
      </c>
      <c r="M17" s="33"/>
      <c r="N17" s="148">
        <f t="shared" si="0"/>
        <v>1560628.6352000001</v>
      </c>
    </row>
    <row r="18" spans="1:14" x14ac:dyDescent="0.25">
      <c r="A18" s="21" t="s">
        <v>24</v>
      </c>
      <c r="B18" s="25">
        <v>101423.1712</v>
      </c>
      <c r="C18" s="25">
        <v>46175.6656</v>
      </c>
      <c r="D18" s="25">
        <v>49985.838400000001</v>
      </c>
      <c r="E18" s="25">
        <v>90899.83679999999</v>
      </c>
      <c r="F18" s="76"/>
      <c r="G18" s="77">
        <v>472370.70880000002</v>
      </c>
      <c r="H18" s="25">
        <v>473550.04800000001</v>
      </c>
      <c r="I18" s="83"/>
      <c r="J18" s="77"/>
      <c r="K18" s="25">
        <v>316697.93439999997</v>
      </c>
      <c r="L18" s="25">
        <v>100788.14240000001</v>
      </c>
      <c r="M18" s="33"/>
      <c r="N18" s="148">
        <f t="shared" si="0"/>
        <v>1651891.3455999999</v>
      </c>
    </row>
    <row r="19" spans="1:14" x14ac:dyDescent="0.25">
      <c r="A19" s="21" t="s">
        <v>25</v>
      </c>
      <c r="B19" s="25">
        <v>103237.5392</v>
      </c>
      <c r="C19" s="25">
        <v>45903.510399999999</v>
      </c>
      <c r="D19" s="25">
        <v>53070.264000000003</v>
      </c>
      <c r="E19" s="25">
        <v>100788.14240000001</v>
      </c>
      <c r="F19" s="76"/>
      <c r="G19" s="77">
        <v>522537.984</v>
      </c>
      <c r="H19" s="25">
        <v>510563.15519999998</v>
      </c>
      <c r="I19" s="83"/>
      <c r="J19" s="77"/>
      <c r="K19" s="25">
        <v>343187.7072</v>
      </c>
      <c r="L19" s="25">
        <v>108952.7984</v>
      </c>
      <c r="M19" s="33"/>
      <c r="N19" s="148">
        <f t="shared" si="0"/>
        <v>1788241.1007999999</v>
      </c>
    </row>
    <row r="20" spans="1:14" x14ac:dyDescent="0.25">
      <c r="A20" s="21" t="s">
        <v>26</v>
      </c>
      <c r="B20" s="25">
        <v>100425.26879999999</v>
      </c>
      <c r="C20" s="25">
        <v>39825.3776</v>
      </c>
      <c r="D20" s="25">
        <v>57878.339200000002</v>
      </c>
      <c r="E20" s="25">
        <v>108680.64320000001</v>
      </c>
      <c r="F20" s="76"/>
      <c r="G20" s="77">
        <v>575971.12160000007</v>
      </c>
      <c r="H20" s="25">
        <v>524170.91519999999</v>
      </c>
      <c r="I20" s="83"/>
      <c r="J20" s="77"/>
      <c r="K20" s="25">
        <v>339649.68960000004</v>
      </c>
      <c r="L20" s="25">
        <v>114758.776</v>
      </c>
      <c r="M20" s="33"/>
      <c r="N20" s="148">
        <f t="shared" si="0"/>
        <v>1861360.1312000002</v>
      </c>
    </row>
    <row r="21" spans="1:14" x14ac:dyDescent="0.25">
      <c r="A21" s="21" t="s">
        <v>27</v>
      </c>
      <c r="B21" s="25">
        <v>99000</v>
      </c>
      <c r="C21" s="25">
        <v>36000</v>
      </c>
      <c r="D21" s="25">
        <v>63000</v>
      </c>
      <c r="E21" s="25">
        <v>106000</v>
      </c>
      <c r="F21" s="76"/>
      <c r="G21" s="77">
        <v>654000</v>
      </c>
      <c r="H21" s="25">
        <v>528000</v>
      </c>
      <c r="I21" s="83"/>
      <c r="J21" s="77"/>
      <c r="K21" s="25">
        <v>338000</v>
      </c>
      <c r="L21" s="25">
        <v>112000</v>
      </c>
      <c r="M21" s="33"/>
      <c r="N21" s="148">
        <f t="shared" si="0"/>
        <v>1936000</v>
      </c>
    </row>
    <row r="22" spans="1:14" x14ac:dyDescent="0.25">
      <c r="A22" s="21" t="s">
        <v>28</v>
      </c>
      <c r="B22" s="25">
        <v>115000</v>
      </c>
      <c r="C22" s="25">
        <v>38000</v>
      </c>
      <c r="D22" s="25">
        <v>77000</v>
      </c>
      <c r="E22" s="25">
        <v>111000</v>
      </c>
      <c r="F22" s="76"/>
      <c r="G22" s="77">
        <v>581000</v>
      </c>
      <c r="H22" s="25">
        <v>545000</v>
      </c>
      <c r="I22" s="83"/>
      <c r="J22" s="77"/>
      <c r="K22" s="25">
        <v>300000</v>
      </c>
      <c r="L22" s="25">
        <v>109000</v>
      </c>
      <c r="M22" s="33"/>
      <c r="N22" s="148">
        <f t="shared" si="0"/>
        <v>1876000</v>
      </c>
    </row>
    <row r="23" spans="1:14" x14ac:dyDescent="0.25">
      <c r="A23" s="21" t="s">
        <v>29</v>
      </c>
      <c r="B23" s="25">
        <v>144000</v>
      </c>
      <c r="C23" s="25">
        <v>39000</v>
      </c>
      <c r="D23" s="25">
        <v>82000</v>
      </c>
      <c r="E23" s="25">
        <v>128000</v>
      </c>
      <c r="F23" s="76"/>
      <c r="G23" s="77">
        <v>701000</v>
      </c>
      <c r="H23" s="25">
        <v>662000</v>
      </c>
      <c r="I23" s="83"/>
      <c r="J23" s="77"/>
      <c r="K23" s="25">
        <v>320000</v>
      </c>
      <c r="L23" s="25">
        <v>128000</v>
      </c>
      <c r="M23" s="33"/>
      <c r="N23" s="148">
        <f t="shared" si="0"/>
        <v>2204000</v>
      </c>
    </row>
    <row r="24" spans="1:14" x14ac:dyDescent="0.25">
      <c r="A24" s="21" t="s">
        <v>30</v>
      </c>
      <c r="B24" s="25">
        <v>135000</v>
      </c>
      <c r="C24" s="25">
        <v>38000</v>
      </c>
      <c r="D24" s="25">
        <v>85000</v>
      </c>
      <c r="E24" s="25">
        <v>130000</v>
      </c>
      <c r="F24" s="76"/>
      <c r="G24" s="77">
        <v>640000</v>
      </c>
      <c r="H24" s="25">
        <v>698000</v>
      </c>
      <c r="I24" s="83"/>
      <c r="J24" s="77"/>
      <c r="K24" s="25">
        <v>305000</v>
      </c>
      <c r="L24" s="25">
        <v>136000</v>
      </c>
      <c r="M24" s="33"/>
      <c r="N24" s="148">
        <f t="shared" si="0"/>
        <v>2167000</v>
      </c>
    </row>
    <row r="25" spans="1:14" x14ac:dyDescent="0.25">
      <c r="A25" s="21" t="s">
        <v>31</v>
      </c>
      <c r="B25" s="25">
        <v>113000</v>
      </c>
      <c r="C25" s="25">
        <v>36000</v>
      </c>
      <c r="D25" s="25">
        <v>83000</v>
      </c>
      <c r="E25" s="25">
        <v>128000</v>
      </c>
      <c r="F25" s="150" t="s">
        <v>177</v>
      </c>
      <c r="G25" s="77">
        <v>1074000</v>
      </c>
      <c r="H25" s="25">
        <v>339000</v>
      </c>
      <c r="I25" s="83"/>
      <c r="J25" s="77"/>
      <c r="K25" s="25">
        <v>367000</v>
      </c>
      <c r="L25" s="25">
        <v>103000</v>
      </c>
      <c r="M25" s="33"/>
      <c r="N25" s="148">
        <f t="shared" si="0"/>
        <v>2243000</v>
      </c>
    </row>
    <row r="26" spans="1:14" x14ac:dyDescent="0.25">
      <c r="A26" s="21" t="s">
        <v>32</v>
      </c>
      <c r="B26" s="25">
        <v>111000</v>
      </c>
      <c r="C26" s="25">
        <v>36000</v>
      </c>
      <c r="D26" s="25">
        <v>89000</v>
      </c>
      <c r="E26" s="25">
        <v>119000</v>
      </c>
      <c r="F26" s="76"/>
      <c r="G26" s="77">
        <v>889000</v>
      </c>
      <c r="H26" s="25">
        <v>500000</v>
      </c>
      <c r="I26" s="83"/>
      <c r="J26" s="77"/>
      <c r="K26" s="25">
        <v>293000</v>
      </c>
      <c r="L26" s="25">
        <v>124000</v>
      </c>
      <c r="M26" s="33"/>
      <c r="N26" s="148">
        <f t="shared" si="0"/>
        <v>2161000</v>
      </c>
    </row>
    <row r="27" spans="1:14" x14ac:dyDescent="0.25">
      <c r="A27" s="21" t="s">
        <v>33</v>
      </c>
      <c r="B27" s="25">
        <v>84000</v>
      </c>
      <c r="C27" s="25">
        <v>39000</v>
      </c>
      <c r="D27" s="25">
        <v>102000</v>
      </c>
      <c r="E27" s="25">
        <v>139000</v>
      </c>
      <c r="F27" s="76"/>
      <c r="G27" s="77">
        <v>810000</v>
      </c>
      <c r="H27" s="25">
        <v>546000</v>
      </c>
      <c r="I27" s="83"/>
      <c r="J27" s="77"/>
      <c r="K27" s="25">
        <v>254000</v>
      </c>
      <c r="L27" s="25">
        <v>144000</v>
      </c>
      <c r="M27" s="33"/>
      <c r="N27" s="148">
        <f t="shared" si="0"/>
        <v>2118000</v>
      </c>
    </row>
    <row r="28" spans="1:14" x14ac:dyDescent="0.25">
      <c r="A28" s="21" t="s">
        <v>34</v>
      </c>
      <c r="B28" s="25">
        <v>116000</v>
      </c>
      <c r="C28" s="25">
        <v>42000</v>
      </c>
      <c r="D28" s="25">
        <v>104000</v>
      </c>
      <c r="E28" s="25">
        <v>153000</v>
      </c>
      <c r="F28" s="76"/>
      <c r="G28" s="77">
        <v>929000</v>
      </c>
      <c r="H28" s="25">
        <v>570000</v>
      </c>
      <c r="I28" s="83"/>
      <c r="J28" s="77"/>
      <c r="K28" s="25">
        <v>293000</v>
      </c>
      <c r="L28" s="25">
        <v>97000</v>
      </c>
      <c r="M28" s="33"/>
      <c r="N28" s="148">
        <f t="shared" si="0"/>
        <v>2304000</v>
      </c>
    </row>
    <row r="29" spans="1:14" x14ac:dyDescent="0.25">
      <c r="A29" s="21" t="s">
        <v>35</v>
      </c>
      <c r="B29" s="25">
        <v>135000</v>
      </c>
      <c r="C29" s="25">
        <v>48000</v>
      </c>
      <c r="D29" s="25">
        <v>111000</v>
      </c>
      <c r="E29" s="25">
        <v>159000</v>
      </c>
      <c r="F29" s="76"/>
      <c r="G29" s="77">
        <v>895000</v>
      </c>
      <c r="H29" s="25">
        <v>586000</v>
      </c>
      <c r="I29" s="83"/>
      <c r="J29" s="77"/>
      <c r="K29" s="25">
        <v>250000</v>
      </c>
      <c r="L29" s="25">
        <v>74000</v>
      </c>
      <c r="M29" s="33"/>
      <c r="N29" s="148">
        <f t="shared" si="0"/>
        <v>2258000</v>
      </c>
    </row>
    <row r="30" spans="1:14" x14ac:dyDescent="0.25">
      <c r="A30" s="21" t="s">
        <v>36</v>
      </c>
      <c r="B30" s="25">
        <v>164000</v>
      </c>
      <c r="C30" s="25">
        <v>49000</v>
      </c>
      <c r="D30" s="25">
        <v>111000</v>
      </c>
      <c r="E30" s="25">
        <v>160000</v>
      </c>
      <c r="F30" s="76"/>
      <c r="G30" s="77">
        <v>915000</v>
      </c>
      <c r="H30" s="25">
        <v>617000</v>
      </c>
      <c r="I30" s="150" t="s">
        <v>61</v>
      </c>
      <c r="J30" s="77">
        <v>131000</v>
      </c>
      <c r="K30" s="25">
        <v>266000</v>
      </c>
      <c r="L30" s="25">
        <v>196000</v>
      </c>
      <c r="M30" s="33"/>
      <c r="N30" s="148">
        <f t="shared" si="0"/>
        <v>2609000</v>
      </c>
    </row>
    <row r="31" spans="1:14" x14ac:dyDescent="0.25">
      <c r="A31" s="21" t="s">
        <v>37</v>
      </c>
      <c r="B31" s="25">
        <v>165000</v>
      </c>
      <c r="C31" s="25">
        <v>50000</v>
      </c>
      <c r="D31" s="25">
        <v>117000</v>
      </c>
      <c r="E31" s="25">
        <v>162000</v>
      </c>
      <c r="F31" s="76"/>
      <c r="G31" s="77">
        <v>965000</v>
      </c>
      <c r="H31" s="25">
        <v>638000</v>
      </c>
      <c r="I31" s="76"/>
      <c r="J31" s="77">
        <v>163000</v>
      </c>
      <c r="K31" s="25">
        <v>278000</v>
      </c>
      <c r="L31" s="25">
        <v>224000</v>
      </c>
      <c r="M31" s="33"/>
      <c r="N31" s="148">
        <f t="shared" si="0"/>
        <v>2762000</v>
      </c>
    </row>
    <row r="32" spans="1:14" x14ac:dyDescent="0.25">
      <c r="A32" s="21" t="s">
        <v>38</v>
      </c>
      <c r="B32" s="25">
        <v>184000</v>
      </c>
      <c r="C32" s="25">
        <v>56000</v>
      </c>
      <c r="D32" s="25">
        <v>136000</v>
      </c>
      <c r="E32" s="25">
        <v>171000</v>
      </c>
      <c r="F32" s="76"/>
      <c r="G32" s="77">
        <v>1017000</v>
      </c>
      <c r="H32" s="25">
        <v>699000</v>
      </c>
      <c r="I32" s="76"/>
      <c r="J32" s="77">
        <v>211000</v>
      </c>
      <c r="K32" s="25">
        <v>293000</v>
      </c>
      <c r="L32" s="25">
        <v>33000</v>
      </c>
      <c r="M32" s="33"/>
      <c r="N32" s="148">
        <f t="shared" si="0"/>
        <v>2800000</v>
      </c>
    </row>
    <row r="33" spans="1:14" x14ac:dyDescent="0.25">
      <c r="A33" s="21" t="s">
        <v>39</v>
      </c>
      <c r="B33" s="156" t="s">
        <v>176</v>
      </c>
      <c r="C33" s="25">
        <v>55000</v>
      </c>
      <c r="D33" s="25">
        <v>146000</v>
      </c>
      <c r="E33" s="25">
        <v>172000</v>
      </c>
      <c r="F33" s="76"/>
      <c r="G33" s="77">
        <v>872000</v>
      </c>
      <c r="H33" s="25">
        <v>742000</v>
      </c>
      <c r="I33" s="76"/>
      <c r="J33" s="77">
        <v>232000</v>
      </c>
      <c r="K33" s="25">
        <v>280000</v>
      </c>
      <c r="L33" s="25">
        <v>34000</v>
      </c>
      <c r="M33" s="33"/>
      <c r="N33" s="148">
        <f t="shared" si="0"/>
        <v>2533000</v>
      </c>
    </row>
    <row r="34" spans="1:14" x14ac:dyDescent="0.25">
      <c r="A34" s="21" t="s">
        <v>40</v>
      </c>
      <c r="B34" s="33"/>
      <c r="C34" s="25">
        <v>53000</v>
      </c>
      <c r="D34" s="25">
        <v>161000</v>
      </c>
      <c r="E34" s="25">
        <v>168000</v>
      </c>
      <c r="F34" s="76"/>
      <c r="G34" s="77">
        <v>915000</v>
      </c>
      <c r="H34" s="25">
        <v>809000</v>
      </c>
      <c r="I34" s="76"/>
      <c r="J34" s="77">
        <v>249000</v>
      </c>
      <c r="K34" s="25">
        <v>283000</v>
      </c>
      <c r="L34" s="25">
        <v>14000</v>
      </c>
      <c r="M34" s="33"/>
      <c r="N34" s="148">
        <f t="shared" si="0"/>
        <v>2652000</v>
      </c>
    </row>
    <row r="35" spans="1:14" x14ac:dyDescent="0.25">
      <c r="A35" s="21" t="s">
        <v>41</v>
      </c>
      <c r="B35" s="33"/>
      <c r="C35" s="25">
        <v>50000</v>
      </c>
      <c r="D35" s="25">
        <v>159000</v>
      </c>
      <c r="E35" s="25">
        <v>174000</v>
      </c>
      <c r="F35" s="76"/>
      <c r="G35" s="77">
        <v>834000</v>
      </c>
      <c r="H35" s="25">
        <v>761000</v>
      </c>
      <c r="I35" s="76"/>
      <c r="J35" s="77">
        <v>269000</v>
      </c>
      <c r="K35" s="25">
        <v>276000</v>
      </c>
      <c r="L35" s="25">
        <v>12000</v>
      </c>
      <c r="M35" s="33"/>
      <c r="N35" s="148">
        <f t="shared" si="0"/>
        <v>2535000</v>
      </c>
    </row>
    <row r="36" spans="1:14" x14ac:dyDescent="0.25">
      <c r="A36" s="21" t="s">
        <v>42</v>
      </c>
      <c r="B36" s="33"/>
      <c r="C36" s="25">
        <v>50000</v>
      </c>
      <c r="D36" s="25">
        <v>154000</v>
      </c>
      <c r="E36" s="25">
        <v>160000</v>
      </c>
      <c r="F36" s="76"/>
      <c r="G36" s="77">
        <v>778000</v>
      </c>
      <c r="H36" s="25">
        <v>798000</v>
      </c>
      <c r="I36" s="76"/>
      <c r="J36" s="77">
        <v>306000</v>
      </c>
      <c r="K36" s="25">
        <v>257000</v>
      </c>
      <c r="L36" s="25">
        <v>22000</v>
      </c>
      <c r="M36" s="33"/>
      <c r="N36" s="148">
        <f t="shared" si="0"/>
        <v>2525000</v>
      </c>
    </row>
    <row r="37" spans="1:14" x14ac:dyDescent="0.25">
      <c r="A37" s="21" t="s">
        <v>43</v>
      </c>
      <c r="B37" s="33"/>
      <c r="C37" s="25">
        <v>49000</v>
      </c>
      <c r="D37" s="25">
        <v>148000</v>
      </c>
      <c r="E37" s="25">
        <v>165000</v>
      </c>
      <c r="F37" s="76"/>
      <c r="G37" s="77">
        <v>775000</v>
      </c>
      <c r="H37" s="25">
        <v>927000</v>
      </c>
      <c r="I37" s="76"/>
      <c r="J37" s="77">
        <v>334000</v>
      </c>
      <c r="K37" s="25">
        <v>246000</v>
      </c>
      <c r="L37" s="25">
        <v>12000</v>
      </c>
      <c r="M37" s="33"/>
      <c r="N37" s="148">
        <f t="shared" si="0"/>
        <v>2656000</v>
      </c>
    </row>
    <row r="38" spans="1:14" x14ac:dyDescent="0.25">
      <c r="A38" s="21" t="s">
        <v>44</v>
      </c>
      <c r="B38" s="33"/>
      <c r="C38" s="25">
        <v>43000</v>
      </c>
      <c r="D38" s="25">
        <v>146000</v>
      </c>
      <c r="E38" s="25">
        <v>165000</v>
      </c>
      <c r="F38" s="76"/>
      <c r="G38" s="77">
        <v>779000</v>
      </c>
      <c r="H38" s="25">
        <v>931000</v>
      </c>
      <c r="I38" s="76"/>
      <c r="J38" s="77">
        <v>295000</v>
      </c>
      <c r="K38" s="25">
        <v>255000</v>
      </c>
      <c r="L38" s="25">
        <v>15000</v>
      </c>
      <c r="M38" s="33"/>
      <c r="N38" s="148">
        <f t="shared" si="0"/>
        <v>2629000</v>
      </c>
    </row>
    <row r="39" spans="1:14" x14ac:dyDescent="0.25">
      <c r="A39" s="21" t="s">
        <v>45</v>
      </c>
      <c r="B39" s="33"/>
      <c r="C39" s="25">
        <v>36000</v>
      </c>
      <c r="D39" s="25">
        <v>144000</v>
      </c>
      <c r="E39" s="25">
        <v>152000</v>
      </c>
      <c r="F39" s="76"/>
      <c r="G39" s="77">
        <v>735000</v>
      </c>
      <c r="H39" s="25">
        <v>854000</v>
      </c>
      <c r="I39" s="76"/>
      <c r="J39" s="77">
        <v>272000</v>
      </c>
      <c r="K39" s="25">
        <v>207000</v>
      </c>
      <c r="L39" s="25">
        <v>18000</v>
      </c>
      <c r="M39" s="33"/>
      <c r="N39" s="148">
        <f t="shared" si="0"/>
        <v>2418000</v>
      </c>
    </row>
    <row r="40" spans="1:14" x14ac:dyDescent="0.25">
      <c r="A40" s="21" t="s">
        <v>46</v>
      </c>
      <c r="B40" s="33"/>
      <c r="C40" s="25">
        <v>37000</v>
      </c>
      <c r="D40" s="25">
        <v>130000</v>
      </c>
      <c r="E40" s="25">
        <v>151000</v>
      </c>
      <c r="F40" s="76"/>
      <c r="G40" s="77">
        <v>749000</v>
      </c>
      <c r="H40" s="25">
        <v>900000</v>
      </c>
      <c r="I40" s="76"/>
      <c r="J40" s="77">
        <v>293000</v>
      </c>
      <c r="K40" s="25">
        <v>227000</v>
      </c>
      <c r="L40" s="25">
        <v>12000</v>
      </c>
      <c r="M40" s="33"/>
      <c r="N40" s="148">
        <f t="shared" si="0"/>
        <v>2499000</v>
      </c>
    </row>
    <row r="41" spans="1:14" x14ac:dyDescent="0.25">
      <c r="A41" s="21" t="s">
        <v>47</v>
      </c>
      <c r="B41" s="33"/>
      <c r="C41" s="25">
        <v>31000</v>
      </c>
      <c r="D41" s="25">
        <v>134000</v>
      </c>
      <c r="E41" s="25">
        <v>122000</v>
      </c>
      <c r="F41" s="76"/>
      <c r="G41" s="77">
        <v>709000</v>
      </c>
      <c r="H41" s="25">
        <v>832000</v>
      </c>
      <c r="I41" s="76"/>
      <c r="J41" s="77">
        <v>284000</v>
      </c>
      <c r="K41" s="25">
        <v>219000</v>
      </c>
      <c r="L41" s="25">
        <v>14000</v>
      </c>
      <c r="M41" s="33"/>
      <c r="N41" s="148">
        <f t="shared" si="0"/>
        <v>2345000</v>
      </c>
    </row>
    <row r="42" spans="1:14" x14ac:dyDescent="0.25">
      <c r="A42" s="21" t="s">
        <v>48</v>
      </c>
      <c r="B42" s="33"/>
      <c r="C42" s="25">
        <v>27000</v>
      </c>
      <c r="D42" s="25">
        <v>125000</v>
      </c>
      <c r="E42" s="25">
        <v>128000</v>
      </c>
      <c r="F42" s="76"/>
      <c r="G42" s="77">
        <v>668000</v>
      </c>
      <c r="H42" s="25">
        <v>870000</v>
      </c>
      <c r="I42" s="76"/>
      <c r="J42" s="77">
        <v>334000</v>
      </c>
      <c r="K42" s="25">
        <v>215000</v>
      </c>
      <c r="L42" s="25">
        <v>12000</v>
      </c>
      <c r="M42" s="33"/>
      <c r="N42" s="148">
        <f t="shared" si="0"/>
        <v>2379000</v>
      </c>
    </row>
    <row r="43" spans="1:14" x14ac:dyDescent="0.25">
      <c r="A43" s="21" t="s">
        <v>49</v>
      </c>
      <c r="B43" s="33"/>
      <c r="C43" s="25">
        <v>22000</v>
      </c>
      <c r="D43" s="25">
        <v>143000</v>
      </c>
      <c r="E43" s="25">
        <v>117000</v>
      </c>
      <c r="F43" s="76"/>
      <c r="G43" s="77">
        <v>568000</v>
      </c>
      <c r="H43" s="25">
        <v>861000</v>
      </c>
      <c r="I43" s="76"/>
      <c r="J43" s="77">
        <v>348000</v>
      </c>
      <c r="K43" s="25">
        <v>193000</v>
      </c>
      <c r="L43" s="25">
        <v>17000</v>
      </c>
      <c r="M43" s="33"/>
      <c r="N43" s="148">
        <f t="shared" si="0"/>
        <v>2269000</v>
      </c>
    </row>
    <row r="44" spans="1:14" x14ac:dyDescent="0.25">
      <c r="A44" s="21" t="s">
        <v>50</v>
      </c>
      <c r="B44" s="33"/>
      <c r="C44" s="25">
        <v>21000</v>
      </c>
      <c r="D44" s="25">
        <v>155000</v>
      </c>
      <c r="E44" s="25">
        <v>116000</v>
      </c>
      <c r="F44" s="76"/>
      <c r="G44" s="77">
        <v>529000</v>
      </c>
      <c r="H44" s="25">
        <v>902000</v>
      </c>
      <c r="I44" s="76"/>
      <c r="J44" s="77">
        <v>385000</v>
      </c>
      <c r="K44" s="25">
        <v>176000</v>
      </c>
      <c r="L44" s="25">
        <v>10000</v>
      </c>
      <c r="M44" s="33"/>
      <c r="N44" s="148">
        <f t="shared" si="0"/>
        <v>2294000</v>
      </c>
    </row>
    <row r="45" spans="1:14" x14ac:dyDescent="0.25">
      <c r="A45" s="21" t="s">
        <v>51</v>
      </c>
      <c r="B45" s="33"/>
      <c r="C45" s="25">
        <v>22000</v>
      </c>
      <c r="D45" s="25">
        <v>164000</v>
      </c>
      <c r="E45" s="25">
        <v>120000</v>
      </c>
      <c r="F45" s="76"/>
      <c r="G45" s="77">
        <v>507000</v>
      </c>
      <c r="H45" s="25">
        <v>930000</v>
      </c>
      <c r="I45" s="76"/>
      <c r="J45" s="77">
        <v>415000</v>
      </c>
      <c r="K45" s="25">
        <v>178000</v>
      </c>
      <c r="L45" s="25">
        <v>23000</v>
      </c>
      <c r="M45" s="33"/>
      <c r="N45" s="148">
        <f t="shared" si="0"/>
        <v>2359000</v>
      </c>
    </row>
    <row r="46" spans="1:14" x14ac:dyDescent="0.25">
      <c r="A46" s="21" t="s">
        <v>52</v>
      </c>
      <c r="B46" s="33"/>
      <c r="C46" s="25">
        <v>20000</v>
      </c>
      <c r="D46" s="25">
        <v>184000</v>
      </c>
      <c r="E46" s="25">
        <v>122000</v>
      </c>
      <c r="F46" s="76"/>
      <c r="G46" s="77">
        <v>515000</v>
      </c>
      <c r="H46" s="25">
        <v>954000</v>
      </c>
      <c r="I46" s="76"/>
      <c r="J46" s="77">
        <v>447000</v>
      </c>
      <c r="K46" s="25">
        <v>176000</v>
      </c>
      <c r="L46" s="25">
        <v>17000</v>
      </c>
      <c r="M46" s="33"/>
      <c r="N46" s="148">
        <f t="shared" si="0"/>
        <v>2435000</v>
      </c>
    </row>
    <row r="47" spans="1:14" x14ac:dyDescent="0.25">
      <c r="A47" s="21" t="s">
        <v>53</v>
      </c>
      <c r="B47" s="33"/>
      <c r="C47" s="25">
        <v>22000</v>
      </c>
      <c r="D47" s="25">
        <v>185000</v>
      </c>
      <c r="E47" s="25">
        <v>128000</v>
      </c>
      <c r="F47" s="76"/>
      <c r="G47" s="77">
        <v>592000</v>
      </c>
      <c r="H47" s="25">
        <v>963000</v>
      </c>
      <c r="I47" s="76"/>
      <c r="J47" s="77">
        <v>415000</v>
      </c>
      <c r="K47" s="25">
        <v>200000</v>
      </c>
      <c r="L47" s="25">
        <v>13000</v>
      </c>
      <c r="M47" s="33"/>
      <c r="N47" s="148">
        <f t="shared" si="0"/>
        <v>2518000</v>
      </c>
    </row>
    <row r="48" spans="1:14" x14ac:dyDescent="0.25">
      <c r="A48" s="21" t="s">
        <v>54</v>
      </c>
      <c r="B48" s="33"/>
      <c r="C48" s="25">
        <v>24000</v>
      </c>
      <c r="D48" s="25">
        <v>176000</v>
      </c>
      <c r="E48" s="25">
        <v>127000</v>
      </c>
      <c r="F48" s="76"/>
      <c r="G48" s="77">
        <v>620000</v>
      </c>
      <c r="H48" s="25">
        <v>971000</v>
      </c>
      <c r="I48" s="76"/>
      <c r="J48" s="77">
        <v>448000</v>
      </c>
      <c r="K48" s="25">
        <v>173000</v>
      </c>
      <c r="L48" s="25">
        <v>11000</v>
      </c>
      <c r="M48" s="33"/>
      <c r="N48" s="148">
        <f t="shared" si="0"/>
        <v>2550000</v>
      </c>
    </row>
    <row r="49" spans="1:14" x14ac:dyDescent="0.25">
      <c r="A49" s="21" t="s">
        <v>55</v>
      </c>
      <c r="B49" s="33"/>
      <c r="C49" s="25">
        <v>29000</v>
      </c>
      <c r="D49" s="25">
        <v>141000</v>
      </c>
      <c r="E49" s="25">
        <v>105000</v>
      </c>
      <c r="F49" s="76"/>
      <c r="G49" s="77">
        <v>592000</v>
      </c>
      <c r="H49" s="25">
        <v>945000</v>
      </c>
      <c r="I49" s="76"/>
      <c r="J49" s="77">
        <v>493000</v>
      </c>
      <c r="K49" s="25">
        <v>112000</v>
      </c>
      <c r="L49" s="25">
        <v>11000</v>
      </c>
      <c r="M49" s="33"/>
      <c r="N49" s="148">
        <f t="shared" si="0"/>
        <v>2428000</v>
      </c>
    </row>
    <row r="50" spans="1:14" x14ac:dyDescent="0.25">
      <c r="A50" s="21" t="s">
        <v>56</v>
      </c>
      <c r="B50" s="33"/>
      <c r="C50" s="25">
        <v>20000</v>
      </c>
      <c r="D50" s="25">
        <v>141000</v>
      </c>
      <c r="E50" s="25">
        <v>115000</v>
      </c>
      <c r="F50" s="76"/>
      <c r="G50" s="77">
        <v>548000</v>
      </c>
      <c r="H50" s="25">
        <v>936000</v>
      </c>
      <c r="I50" s="76"/>
      <c r="J50" s="77">
        <v>508000</v>
      </c>
      <c r="K50" s="25">
        <v>117000</v>
      </c>
      <c r="L50" s="25">
        <v>19000</v>
      </c>
      <c r="M50" s="33"/>
      <c r="N50" s="148">
        <f t="shared" si="0"/>
        <v>2404000</v>
      </c>
    </row>
    <row r="51" spans="1:14" ht="14.4" thickBot="1" x14ac:dyDescent="0.3">
      <c r="A51" s="144" t="s">
        <v>57</v>
      </c>
      <c r="B51" s="36"/>
      <c r="C51" s="145">
        <v>20000</v>
      </c>
      <c r="D51" s="145">
        <v>101000</v>
      </c>
      <c r="E51" s="145">
        <v>105000</v>
      </c>
      <c r="F51" s="146"/>
      <c r="G51" s="147">
        <v>461000</v>
      </c>
      <c r="H51" s="145">
        <v>968000</v>
      </c>
      <c r="I51" s="146"/>
      <c r="J51" s="147">
        <v>623000</v>
      </c>
      <c r="K51" s="145">
        <v>77000</v>
      </c>
      <c r="L51" s="145">
        <v>20000</v>
      </c>
      <c r="M51" s="36"/>
      <c r="N51" s="149">
        <f t="shared" si="0"/>
        <v>2375000</v>
      </c>
    </row>
    <row r="52" spans="1:14" ht="15.6" x14ac:dyDescent="0.3">
      <c r="A52" s="376" t="s">
        <v>161</v>
      </c>
      <c r="B52" s="377"/>
      <c r="C52" s="377"/>
      <c r="D52" s="377"/>
      <c r="E52" s="377"/>
      <c r="F52" s="377"/>
      <c r="G52" s="377"/>
      <c r="H52" s="377"/>
      <c r="I52" s="377"/>
      <c r="J52" s="377"/>
      <c r="K52" s="377"/>
      <c r="L52" s="377"/>
      <c r="M52" s="377"/>
      <c r="N52" s="378"/>
    </row>
    <row r="53" spans="1:14" ht="16.5" customHeight="1" x14ac:dyDescent="0.25">
      <c r="A53" s="375" t="s">
        <v>172</v>
      </c>
      <c r="B53" s="375"/>
      <c r="C53" s="375"/>
      <c r="D53" s="375"/>
      <c r="E53" s="375"/>
      <c r="F53" s="375"/>
      <c r="G53" s="375"/>
      <c r="H53" s="375"/>
      <c r="I53" s="375"/>
      <c r="J53" s="375"/>
      <c r="K53" s="375"/>
      <c r="L53" s="375"/>
      <c r="M53" s="375"/>
      <c r="N53" s="375"/>
    </row>
    <row r="54" spans="1:14" ht="16.5" customHeight="1" x14ac:dyDescent="0.25">
      <c r="A54" s="375" t="s">
        <v>173</v>
      </c>
      <c r="B54" s="375"/>
      <c r="C54" s="375"/>
      <c r="D54" s="375"/>
      <c r="E54" s="375"/>
      <c r="F54" s="375"/>
      <c r="G54" s="375"/>
      <c r="H54" s="375"/>
      <c r="I54" s="375"/>
      <c r="J54" s="375"/>
      <c r="K54" s="375"/>
      <c r="L54" s="375"/>
      <c r="M54" s="375"/>
      <c r="N54" s="375"/>
    </row>
    <row r="55" spans="1:14" ht="32.25" customHeight="1" x14ac:dyDescent="0.25">
      <c r="A55" s="375" t="s">
        <v>174</v>
      </c>
      <c r="B55" s="375"/>
      <c r="C55" s="375"/>
      <c r="D55" s="375"/>
      <c r="E55" s="375"/>
      <c r="F55" s="375"/>
      <c r="G55" s="375"/>
      <c r="H55" s="375"/>
      <c r="I55" s="375"/>
      <c r="J55" s="375"/>
      <c r="K55" s="375"/>
      <c r="L55" s="375"/>
      <c r="M55" s="375"/>
      <c r="N55" s="375"/>
    </row>
    <row r="56" spans="1:14" ht="16.5" customHeight="1" x14ac:dyDescent="0.25">
      <c r="A56" s="375" t="s">
        <v>175</v>
      </c>
      <c r="B56" s="375"/>
      <c r="C56" s="375"/>
      <c r="D56" s="375"/>
      <c r="E56" s="375"/>
      <c r="F56" s="375"/>
      <c r="G56" s="375"/>
      <c r="H56" s="375"/>
      <c r="I56" s="375"/>
      <c r="J56" s="375"/>
      <c r="K56" s="375"/>
      <c r="L56" s="375"/>
      <c r="M56" s="375"/>
      <c r="N56" s="375"/>
    </row>
    <row r="57" spans="1:14" x14ac:dyDescent="0.25">
      <c r="A57" s="49" t="s">
        <v>179</v>
      </c>
      <c r="B57" s="50"/>
      <c r="C57" s="50"/>
      <c r="D57" s="50"/>
      <c r="E57" s="50"/>
      <c r="F57" s="50"/>
      <c r="G57" s="50"/>
      <c r="H57" s="50"/>
      <c r="I57" s="50"/>
      <c r="J57" s="50"/>
      <c r="K57" s="50"/>
      <c r="L57" s="50"/>
      <c r="M57" s="50"/>
      <c r="N57" s="50"/>
    </row>
    <row r="58" spans="1:14" x14ac:dyDescent="0.25">
      <c r="A58" s="49"/>
      <c r="B58" s="50"/>
      <c r="C58" s="50"/>
      <c r="D58" s="50"/>
      <c r="E58" s="50"/>
      <c r="F58" s="50"/>
      <c r="G58" s="50"/>
      <c r="H58" s="50"/>
      <c r="I58" s="50"/>
      <c r="J58" s="50"/>
      <c r="K58" s="50"/>
      <c r="L58" s="50"/>
      <c r="M58" s="50"/>
      <c r="N58" s="50"/>
    </row>
    <row r="59" spans="1:14" x14ac:dyDescent="0.25">
      <c r="A59" s="151" t="s">
        <v>159</v>
      </c>
      <c r="B59" s="152"/>
      <c r="C59" s="152"/>
      <c r="D59" s="50"/>
      <c r="E59" s="50"/>
      <c r="F59" s="50"/>
      <c r="G59" s="50"/>
      <c r="H59" s="50"/>
      <c r="I59" s="50"/>
      <c r="J59" s="50"/>
      <c r="K59" s="50"/>
      <c r="L59" s="50"/>
      <c r="M59" s="50"/>
      <c r="N59" s="50"/>
    </row>
    <row r="60" spans="1:14" x14ac:dyDescent="0.25">
      <c r="A60" s="49"/>
      <c r="B60" s="50"/>
      <c r="C60" s="50"/>
      <c r="D60" s="50"/>
      <c r="E60" s="50"/>
      <c r="F60" s="50"/>
      <c r="G60" s="50"/>
      <c r="H60" s="50"/>
      <c r="I60" s="50"/>
      <c r="J60" s="50"/>
      <c r="K60" s="50"/>
      <c r="L60" s="50"/>
      <c r="M60" s="50"/>
      <c r="N60" s="50"/>
    </row>
  </sheetData>
  <mergeCells count="7">
    <mergeCell ref="A1:N1"/>
    <mergeCell ref="A3:N3"/>
    <mergeCell ref="A56:N56"/>
    <mergeCell ref="A55:N55"/>
    <mergeCell ref="A54:N54"/>
    <mergeCell ref="A53:N53"/>
    <mergeCell ref="A52:N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67"/>
  <sheetViews>
    <sheetView zoomScale="85" zoomScaleNormal="85" workbookViewId="0">
      <pane xSplit="1" ySplit="4" topLeftCell="B35" activePane="bottomRight" state="frozen"/>
      <selection pane="topRight" activeCell="B1" sqref="B1"/>
      <selection pane="bottomLeft" activeCell="A5" sqref="A5"/>
      <selection pane="bottomRight" activeCell="C56" sqref="C56"/>
    </sheetView>
  </sheetViews>
  <sheetFormatPr defaultColWidth="9.109375" defaultRowHeight="13.8" x14ac:dyDescent="0.25"/>
  <cols>
    <col min="1" max="1" width="12.44140625" style="27" customWidth="1"/>
    <col min="2" max="2" width="10.109375" style="27" customWidth="1"/>
    <col min="3" max="10" width="9.88671875" style="22" customWidth="1"/>
    <col min="11" max="11" width="2.33203125" style="22" customWidth="1"/>
    <col min="12" max="14" width="9.88671875" style="22" customWidth="1"/>
    <col min="15" max="15" width="2.109375" style="22" customWidth="1"/>
    <col min="16" max="21" width="9.88671875" style="22" customWidth="1"/>
    <col min="22" max="22" width="9.88671875" style="23" bestFit="1" customWidth="1"/>
    <col min="23" max="23" width="9.109375" style="23" customWidth="1"/>
    <col min="24" max="24" width="9.109375" style="23"/>
    <col min="25" max="25" width="10.88671875" style="5" bestFit="1" customWidth="1"/>
    <col min="26" max="26" width="11.109375" style="5" customWidth="1"/>
    <col min="27" max="16384" width="9.109375" style="5"/>
  </cols>
  <sheetData>
    <row r="1" spans="1:26" ht="14.4" thickBot="1" x14ac:dyDescent="0.3">
      <c r="A1" s="381" t="s">
        <v>13</v>
      </c>
      <c r="B1" s="381"/>
      <c r="C1" s="381"/>
      <c r="D1" s="381"/>
      <c r="E1" s="381"/>
      <c r="F1" s="381"/>
      <c r="G1" s="381"/>
      <c r="H1" s="381"/>
      <c r="I1" s="381"/>
      <c r="J1" s="381"/>
      <c r="K1" s="381"/>
      <c r="L1" s="381"/>
      <c r="M1" s="381"/>
      <c r="N1" s="381"/>
      <c r="O1" s="381"/>
      <c r="P1" s="381"/>
      <c r="Q1" s="381"/>
      <c r="R1" s="381"/>
      <c r="S1" s="381"/>
      <c r="T1" s="381"/>
      <c r="U1" s="381"/>
      <c r="V1" s="381"/>
      <c r="W1" s="381"/>
      <c r="X1" s="381"/>
    </row>
    <row r="2" spans="1:26" ht="83.4" thickBot="1" x14ac:dyDescent="0.3">
      <c r="A2" s="28" t="s">
        <v>14</v>
      </c>
      <c r="B2" s="115"/>
      <c r="C2" s="30" t="s">
        <v>5</v>
      </c>
      <c r="D2" s="88"/>
      <c r="E2" s="30" t="s">
        <v>6</v>
      </c>
      <c r="F2" s="88"/>
      <c r="G2" s="30" t="s">
        <v>7</v>
      </c>
      <c r="H2" s="88"/>
      <c r="I2" s="30" t="s">
        <v>8</v>
      </c>
      <c r="J2" s="88"/>
      <c r="K2" s="31"/>
      <c r="L2" s="32" t="s">
        <v>9</v>
      </c>
      <c r="M2" s="88"/>
      <c r="N2" s="30" t="s">
        <v>10</v>
      </c>
      <c r="O2" s="31"/>
      <c r="P2" s="32" t="s">
        <v>11</v>
      </c>
      <c r="Q2" s="88"/>
      <c r="R2" s="30" t="s">
        <v>12</v>
      </c>
      <c r="S2" s="88"/>
      <c r="T2" s="30" t="s">
        <v>60</v>
      </c>
      <c r="U2" s="88"/>
      <c r="V2" s="30" t="s">
        <v>168</v>
      </c>
      <c r="W2" s="88"/>
      <c r="X2" s="30" t="s">
        <v>184</v>
      </c>
      <c r="Y2" s="29" t="s">
        <v>167</v>
      </c>
      <c r="Z2" s="24"/>
    </row>
    <row r="3" spans="1:26" ht="18.600000000000001" thickBot="1" x14ac:dyDescent="0.3">
      <c r="A3" s="382" t="s">
        <v>89</v>
      </c>
      <c r="B3" s="383"/>
      <c r="C3" s="383"/>
      <c r="D3" s="383"/>
      <c r="E3" s="383"/>
      <c r="F3" s="383"/>
      <c r="G3" s="383"/>
      <c r="H3" s="383"/>
      <c r="I3" s="383"/>
      <c r="J3" s="383"/>
      <c r="K3" s="383"/>
      <c r="L3" s="383"/>
      <c r="M3" s="383"/>
      <c r="N3" s="383"/>
      <c r="O3" s="383"/>
      <c r="P3" s="383"/>
      <c r="Q3" s="383"/>
      <c r="R3" s="383"/>
      <c r="S3" s="383"/>
      <c r="T3" s="383"/>
      <c r="U3" s="383"/>
      <c r="V3" s="383"/>
      <c r="W3" s="383"/>
      <c r="X3" s="383"/>
      <c r="Y3" s="384"/>
      <c r="Z3" s="24"/>
    </row>
    <row r="4" spans="1:26" ht="14.4" thickBot="1" x14ac:dyDescent="0.3">
      <c r="A4" s="113"/>
      <c r="B4" s="116"/>
      <c r="C4" s="104">
        <v>0.453592</v>
      </c>
      <c r="D4" s="105"/>
      <c r="E4" s="106" t="s">
        <v>162</v>
      </c>
      <c r="F4" s="106"/>
      <c r="G4" s="106"/>
      <c r="H4" s="107"/>
      <c r="I4" s="107"/>
      <c r="J4" s="107"/>
      <c r="K4" s="108"/>
      <c r="L4" s="109"/>
      <c r="M4" s="107"/>
      <c r="N4" s="107"/>
      <c r="O4" s="110"/>
      <c r="P4" s="109"/>
      <c r="Q4" s="107"/>
      <c r="R4" s="107"/>
      <c r="S4" s="107"/>
      <c r="T4" s="107"/>
      <c r="U4" s="107"/>
      <c r="V4" s="111"/>
      <c r="W4" s="111"/>
      <c r="X4" s="112"/>
      <c r="Y4" s="114"/>
    </row>
    <row r="5" spans="1:26" x14ac:dyDescent="0.25">
      <c r="A5" s="58" t="s">
        <v>0</v>
      </c>
      <c r="B5" s="117" t="s">
        <v>169</v>
      </c>
      <c r="C5" s="34">
        <v>0</v>
      </c>
      <c r="D5" s="101">
        <v>548</v>
      </c>
      <c r="E5" s="157">
        <f>D5*1000*200*$C$4/1000</f>
        <v>49713.683199999999</v>
      </c>
      <c r="F5" s="101">
        <v>92</v>
      </c>
      <c r="G5" s="34">
        <f t="shared" ref="G5:I11" si="0">F5*1000*200*$C$4/1000</f>
        <v>8346.0928000000004</v>
      </c>
      <c r="H5" s="101">
        <v>477</v>
      </c>
      <c r="I5" s="34">
        <f t="shared" si="0"/>
        <v>43272.676799999994</v>
      </c>
      <c r="J5" s="101"/>
      <c r="K5" s="13"/>
      <c r="L5" s="12"/>
      <c r="M5" s="101"/>
      <c r="N5" s="10"/>
      <c r="O5" s="13"/>
      <c r="P5" s="12"/>
      <c r="Q5" s="102"/>
      <c r="R5" s="10"/>
      <c r="S5" s="101"/>
      <c r="T5" s="10"/>
      <c r="U5" s="101">
        <f>13036+18</f>
        <v>13054</v>
      </c>
      <c r="V5" s="6">
        <f>U5*1000*200*$C$4/1000</f>
        <v>1184237.9935999999</v>
      </c>
      <c r="W5" s="103">
        <f>52+1206</f>
        <v>1258</v>
      </c>
      <c r="X5" s="14">
        <f t="shared" ref="X5:X6" si="1">W5*1000*200*$C$4/1000</f>
        <v>114123.7472</v>
      </c>
      <c r="Y5" s="84">
        <f t="shared" ref="Y5:Y33" si="2">C5+E5+G5+I5+L5+N5+P5+R5+T5+V5+X5</f>
        <v>1399694.1936000001</v>
      </c>
      <c r="Z5" s="27"/>
    </row>
    <row r="6" spans="1:26" x14ac:dyDescent="0.25">
      <c r="A6" s="59" t="s">
        <v>1</v>
      </c>
      <c r="B6" s="120"/>
      <c r="C6" s="35">
        <f t="shared" ref="C6:E21" si="3">B6*1000*200*$C$4/1000</f>
        <v>0</v>
      </c>
      <c r="D6" s="89">
        <v>719</v>
      </c>
      <c r="E6" s="35">
        <f t="shared" si="3"/>
        <v>65226.529600000002</v>
      </c>
      <c r="F6" s="89">
        <v>111</v>
      </c>
      <c r="G6" s="35">
        <f t="shared" si="0"/>
        <v>10069.742400000001</v>
      </c>
      <c r="H6" s="89">
        <v>513</v>
      </c>
      <c r="I6" s="35">
        <f t="shared" ref="I6" si="4">H6*1000*200*$C$4/1000</f>
        <v>46538.539200000007</v>
      </c>
      <c r="J6" s="89"/>
      <c r="K6" s="17"/>
      <c r="L6" s="8"/>
      <c r="M6" s="89"/>
      <c r="N6" s="7"/>
      <c r="O6" s="9"/>
      <c r="P6" s="8"/>
      <c r="Q6" s="97"/>
      <c r="R6" s="7"/>
      <c r="S6" s="89"/>
      <c r="T6" s="7"/>
      <c r="U6" s="89">
        <f>12829+24</f>
        <v>12853</v>
      </c>
      <c r="V6" s="19">
        <f t="shared" ref="V6:V10" si="5">U6*1000*200*$C$4/1000</f>
        <v>1166003.5952000001</v>
      </c>
      <c r="W6" s="98">
        <f>128+1194</f>
        <v>1322</v>
      </c>
      <c r="X6" s="19">
        <f t="shared" si="1"/>
        <v>119929.7248</v>
      </c>
      <c r="Y6" s="85">
        <f t="shared" si="2"/>
        <v>1407768.1312000002</v>
      </c>
    </row>
    <row r="7" spans="1:26" x14ac:dyDescent="0.25">
      <c r="A7" s="59" t="s">
        <v>2</v>
      </c>
      <c r="B7" s="120"/>
      <c r="C7" s="35">
        <f t="shared" si="3"/>
        <v>0</v>
      </c>
      <c r="D7" s="89">
        <v>661</v>
      </c>
      <c r="E7" s="35">
        <f t="shared" si="3"/>
        <v>59964.862399999998</v>
      </c>
      <c r="F7" s="89">
        <v>66</v>
      </c>
      <c r="G7" s="35">
        <f t="shared" si="0"/>
        <v>5987.4144000000006</v>
      </c>
      <c r="H7" s="89">
        <v>529</v>
      </c>
      <c r="I7" s="35">
        <f t="shared" ref="I7" si="6">H7*1000*200*$C$4/1000</f>
        <v>47990.033600000002</v>
      </c>
      <c r="J7" s="89"/>
      <c r="K7" s="9"/>
      <c r="L7" s="8"/>
      <c r="M7" s="89"/>
      <c r="N7" s="7"/>
      <c r="O7" s="9"/>
      <c r="P7" s="8"/>
      <c r="Q7" s="97"/>
      <c r="R7" s="7"/>
      <c r="S7" s="89"/>
      <c r="T7" s="7"/>
      <c r="U7" s="89">
        <f>12385+17</f>
        <v>12402</v>
      </c>
      <c r="V7" s="19">
        <f t="shared" si="5"/>
        <v>1125089.5967999999</v>
      </c>
      <c r="W7" s="98">
        <f>264+1320</f>
        <v>1584</v>
      </c>
      <c r="X7" s="19">
        <f t="shared" ref="X7" si="7">W7*1000*200*$C$4/1000</f>
        <v>143697.94560000001</v>
      </c>
      <c r="Y7" s="85">
        <f t="shared" si="2"/>
        <v>1382729.8528</v>
      </c>
    </row>
    <row r="8" spans="1:26" x14ac:dyDescent="0.25">
      <c r="A8" s="59" t="s">
        <v>3</v>
      </c>
      <c r="B8" s="120"/>
      <c r="C8" s="35">
        <f t="shared" si="3"/>
        <v>0</v>
      </c>
      <c r="D8" s="89">
        <v>636</v>
      </c>
      <c r="E8" s="35">
        <f t="shared" si="3"/>
        <v>57696.902399999999</v>
      </c>
      <c r="F8" s="89">
        <v>76</v>
      </c>
      <c r="G8" s="35">
        <f t="shared" si="0"/>
        <v>6894.5984000000008</v>
      </c>
      <c r="H8" s="89">
        <v>627</v>
      </c>
      <c r="I8" s="35">
        <f t="shared" ref="I8" si="8">H8*1000*200*$C$4/1000</f>
        <v>56880.436799999996</v>
      </c>
      <c r="J8" s="89"/>
      <c r="K8" s="17"/>
      <c r="L8" s="8"/>
      <c r="M8" s="89"/>
      <c r="N8" s="7"/>
      <c r="O8" s="9"/>
      <c r="P8" s="8"/>
      <c r="Q8" s="97"/>
      <c r="R8" s="7"/>
      <c r="S8" s="89"/>
      <c r="T8" s="7"/>
      <c r="U8" s="89">
        <f>10865+15</f>
        <v>10880</v>
      </c>
      <c r="V8" s="19">
        <f t="shared" si="5"/>
        <v>987016.19200000004</v>
      </c>
      <c r="W8" s="98">
        <f>428+1128</f>
        <v>1556</v>
      </c>
      <c r="X8" s="19">
        <f t="shared" ref="X8" si="9">W8*1000*200*$C$4/1000</f>
        <v>141157.83040000001</v>
      </c>
      <c r="Y8" s="85">
        <f t="shared" si="2"/>
        <v>1249645.9600000002</v>
      </c>
    </row>
    <row r="9" spans="1:26" x14ac:dyDescent="0.25">
      <c r="A9" s="59" t="s">
        <v>4</v>
      </c>
      <c r="B9" s="120"/>
      <c r="C9" s="35">
        <f t="shared" si="3"/>
        <v>0</v>
      </c>
      <c r="D9" s="89">
        <v>636</v>
      </c>
      <c r="E9" s="35">
        <f t="shared" si="3"/>
        <v>57696.902399999999</v>
      </c>
      <c r="F9" s="89">
        <v>76</v>
      </c>
      <c r="G9" s="35">
        <f t="shared" si="0"/>
        <v>6894.5984000000008</v>
      </c>
      <c r="H9" s="89">
        <v>627</v>
      </c>
      <c r="I9" s="35">
        <f t="shared" ref="I9" si="10">H9*1000*200*$C$4/1000</f>
        <v>56880.436799999996</v>
      </c>
      <c r="J9" s="89"/>
      <c r="K9" s="9"/>
      <c r="L9" s="8"/>
      <c r="M9" s="89"/>
      <c r="N9" s="7"/>
      <c r="O9" s="9"/>
      <c r="P9" s="8"/>
      <c r="Q9" s="97"/>
      <c r="R9" s="7"/>
      <c r="S9" s="89"/>
      <c r="T9" s="7"/>
      <c r="U9" s="89">
        <f>10865+15</f>
        <v>10880</v>
      </c>
      <c r="V9" s="19">
        <f t="shared" si="5"/>
        <v>987016.19200000004</v>
      </c>
      <c r="W9" s="98">
        <f>428+1128</f>
        <v>1556</v>
      </c>
      <c r="X9" s="19">
        <f t="shared" ref="X9" si="11">W9*1000*200*$C$4/1000</f>
        <v>141157.83040000001</v>
      </c>
      <c r="Y9" s="85">
        <f t="shared" si="2"/>
        <v>1249645.9600000002</v>
      </c>
    </row>
    <row r="10" spans="1:26" x14ac:dyDescent="0.25">
      <c r="A10" s="59" t="s">
        <v>15</v>
      </c>
      <c r="B10" s="120"/>
      <c r="C10" s="35">
        <f t="shared" si="3"/>
        <v>0</v>
      </c>
      <c r="D10" s="89">
        <v>625</v>
      </c>
      <c r="E10" s="35">
        <f t="shared" si="3"/>
        <v>56699</v>
      </c>
      <c r="F10" s="89">
        <v>199</v>
      </c>
      <c r="G10" s="35">
        <f t="shared" si="0"/>
        <v>18052.961600000002</v>
      </c>
      <c r="H10" s="89">
        <v>617</v>
      </c>
      <c r="I10" s="35">
        <f t="shared" ref="I10" si="12">H10*1000*200*$C$4/1000</f>
        <v>55973.252799999995</v>
      </c>
      <c r="J10" s="89"/>
      <c r="K10" s="17"/>
      <c r="L10" s="8"/>
      <c r="M10" s="89"/>
      <c r="N10" s="7"/>
      <c r="O10" s="9"/>
      <c r="P10" s="8"/>
      <c r="Q10" s="97"/>
      <c r="R10" s="7"/>
      <c r="S10" s="89"/>
      <c r="T10" s="7"/>
      <c r="U10" s="89">
        <f>13064+28</f>
        <v>13092</v>
      </c>
      <c r="V10" s="19">
        <f t="shared" si="5"/>
        <v>1187685.2927999999</v>
      </c>
      <c r="W10" s="98">
        <f>642+1236</f>
        <v>1878</v>
      </c>
      <c r="X10" s="19">
        <f t="shared" ref="X10" si="13">W10*1000*200*$C$4/1000</f>
        <v>170369.15519999998</v>
      </c>
      <c r="Y10" s="85">
        <f t="shared" si="2"/>
        <v>1488779.6623999998</v>
      </c>
    </row>
    <row r="11" spans="1:26" x14ac:dyDescent="0.25">
      <c r="A11" s="59" t="s">
        <v>16</v>
      </c>
      <c r="B11" s="120">
        <v>1055</v>
      </c>
      <c r="C11" s="35">
        <f t="shared" si="3"/>
        <v>95707.911999999997</v>
      </c>
      <c r="D11" s="89">
        <v>657</v>
      </c>
      <c r="E11" s="35">
        <f t="shared" si="3"/>
        <v>59601.988799999999</v>
      </c>
      <c r="F11" s="89">
        <v>232</v>
      </c>
      <c r="G11" s="35">
        <f t="shared" si="0"/>
        <v>21046.668799999999</v>
      </c>
      <c r="H11" s="89">
        <v>670</v>
      </c>
      <c r="I11" s="35">
        <f t="shared" ref="I11" si="14">H11*1000*200*$C$4/1000</f>
        <v>60781.328000000001</v>
      </c>
      <c r="J11" s="89"/>
      <c r="K11" s="9"/>
      <c r="L11" s="8"/>
      <c r="M11" s="89"/>
      <c r="N11" s="7"/>
      <c r="O11" s="9"/>
      <c r="P11" s="8"/>
      <c r="Q11" s="97"/>
      <c r="R11" s="7"/>
      <c r="S11" s="89"/>
      <c r="T11" s="7"/>
      <c r="U11" s="89">
        <f>14066+42</f>
        <v>14108</v>
      </c>
      <c r="V11" s="19">
        <f t="shared" ref="V11" si="15">U11*1000*200*$C$4/1000</f>
        <v>1279855.1872</v>
      </c>
      <c r="W11" s="98">
        <v>1367</v>
      </c>
      <c r="X11" s="19">
        <f t="shared" ref="X11:X12" si="16">W11*1000*200*$C$4/1000</f>
        <v>124012.05279999999</v>
      </c>
      <c r="Y11" s="85">
        <f t="shared" si="2"/>
        <v>1641005.1376</v>
      </c>
    </row>
    <row r="12" spans="1:26" x14ac:dyDescent="0.25">
      <c r="A12" s="59" t="s">
        <v>17</v>
      </c>
      <c r="B12" s="120">
        <v>1130</v>
      </c>
      <c r="C12" s="35">
        <f t="shared" si="3"/>
        <v>102511.792</v>
      </c>
      <c r="D12" s="89">
        <v>652</v>
      </c>
      <c r="E12" s="35">
        <f t="shared" si="3"/>
        <v>59148.396799999995</v>
      </c>
      <c r="F12" s="89">
        <v>271</v>
      </c>
      <c r="G12" s="35">
        <f t="shared" ref="G12:I21" si="17">F12*1000*200*$C$4/1000</f>
        <v>24584.686399999999</v>
      </c>
      <c r="H12" s="89">
        <v>661</v>
      </c>
      <c r="I12" s="35">
        <f t="shared" si="17"/>
        <v>59964.862399999998</v>
      </c>
      <c r="J12" s="89"/>
      <c r="K12" s="17"/>
      <c r="L12" s="8"/>
      <c r="M12" s="89"/>
      <c r="N12" s="7"/>
      <c r="O12" s="9"/>
      <c r="P12" s="8"/>
      <c r="Q12" s="97"/>
      <c r="R12" s="7"/>
      <c r="S12" s="89"/>
      <c r="T12" s="7"/>
      <c r="U12" s="89">
        <f>14462+51</f>
        <v>14513</v>
      </c>
      <c r="V12" s="19">
        <f>U12*1000*200*$C$4/1000</f>
        <v>1316596.1392000001</v>
      </c>
      <c r="W12" s="98">
        <f>5+1560</f>
        <v>1565</v>
      </c>
      <c r="X12" s="19">
        <f t="shared" si="16"/>
        <v>141974.296</v>
      </c>
      <c r="Y12" s="85">
        <f t="shared" si="2"/>
        <v>1704780.1728000003</v>
      </c>
    </row>
    <row r="13" spans="1:26" x14ac:dyDescent="0.25">
      <c r="A13" s="59" t="s">
        <v>18</v>
      </c>
      <c r="B13" s="120">
        <v>1058</v>
      </c>
      <c r="C13" s="35">
        <f t="shared" si="3"/>
        <v>95980.067200000005</v>
      </c>
      <c r="D13" s="89">
        <v>606</v>
      </c>
      <c r="E13" s="35">
        <f>D13*1000*200*$C$4/1000</f>
        <v>54975.350399999996</v>
      </c>
      <c r="F13" s="89">
        <v>290</v>
      </c>
      <c r="G13" s="35">
        <f t="shared" ref="G13" si="18">F13*1000*200*$C$4/1000</f>
        <v>26308.335999999999</v>
      </c>
      <c r="H13" s="89">
        <v>712</v>
      </c>
      <c r="I13" s="35">
        <f t="shared" si="17"/>
        <v>64591.500799999994</v>
      </c>
      <c r="J13" s="89"/>
      <c r="K13" s="9"/>
      <c r="L13" s="8"/>
      <c r="M13" s="89"/>
      <c r="N13" s="7"/>
      <c r="O13" s="9"/>
      <c r="P13" s="8"/>
      <c r="Q13" s="97"/>
      <c r="R13" s="7"/>
      <c r="S13" s="89"/>
      <c r="T13" s="7"/>
      <c r="U13" s="89">
        <f>14028+41</f>
        <v>14069</v>
      </c>
      <c r="V13" s="19">
        <f t="shared" ref="V13:X15" si="19">U13*1000*200*$C$4/1000</f>
        <v>1276317.1695999999</v>
      </c>
      <c r="W13" s="98">
        <f>2+12+1477</f>
        <v>1491</v>
      </c>
      <c r="X13" s="19">
        <f t="shared" ref="X13:X14" si="20">W13*1000*200*$C$4/1000</f>
        <v>135261.13440000001</v>
      </c>
      <c r="Y13" s="85">
        <f t="shared" si="2"/>
        <v>1653433.5584</v>
      </c>
    </row>
    <row r="14" spans="1:26" x14ac:dyDescent="0.25">
      <c r="A14" s="59" t="s">
        <v>19</v>
      </c>
      <c r="B14" s="120">
        <v>1335</v>
      </c>
      <c r="C14" s="35">
        <f t="shared" si="3"/>
        <v>121109.064</v>
      </c>
      <c r="D14" s="89">
        <v>595</v>
      </c>
      <c r="E14" s="35">
        <f>D14*1000*200*$C$4/1000</f>
        <v>53977.447999999997</v>
      </c>
      <c r="F14" s="89">
        <v>347</v>
      </c>
      <c r="G14" s="35">
        <f t="shared" si="17"/>
        <v>31479.284800000001</v>
      </c>
      <c r="H14" s="89">
        <v>768</v>
      </c>
      <c r="I14" s="35">
        <f t="shared" si="17"/>
        <v>69671.731200000009</v>
      </c>
      <c r="J14" s="89"/>
      <c r="K14" s="17"/>
      <c r="L14" s="8"/>
      <c r="M14" s="89"/>
      <c r="N14" s="7"/>
      <c r="O14" s="9"/>
      <c r="P14" s="8"/>
      <c r="Q14" s="97"/>
      <c r="R14" s="7"/>
      <c r="S14" s="89"/>
      <c r="T14" s="7"/>
      <c r="U14" s="89">
        <f>15728+37</f>
        <v>15765</v>
      </c>
      <c r="V14" s="19">
        <f t="shared" si="19"/>
        <v>1430175.5759999999</v>
      </c>
      <c r="W14" s="98">
        <f>2+20+1669</f>
        <v>1691</v>
      </c>
      <c r="X14" s="19">
        <f t="shared" si="20"/>
        <v>153404.8144</v>
      </c>
      <c r="Y14" s="85">
        <f t="shared" si="2"/>
        <v>1859817.9183999998</v>
      </c>
    </row>
    <row r="15" spans="1:26" x14ac:dyDescent="0.25">
      <c r="A15" s="59" t="s">
        <v>20</v>
      </c>
      <c r="B15" s="120">
        <v>881</v>
      </c>
      <c r="C15" s="35">
        <f t="shared" si="3"/>
        <v>79922.910400000008</v>
      </c>
      <c r="D15" s="89">
        <v>544</v>
      </c>
      <c r="E15" s="35">
        <f>D15*1000*200*$C$4/1000</f>
        <v>49350.809600000001</v>
      </c>
      <c r="F15" s="89">
        <v>246</v>
      </c>
      <c r="G15" s="35">
        <f>F15*1000*200*$C$4/1000</f>
        <v>22316.7264</v>
      </c>
      <c r="H15" s="89">
        <v>753</v>
      </c>
      <c r="I15" s="35">
        <f>H15*1000*200*$C$4/1000</f>
        <v>68310.955199999997</v>
      </c>
      <c r="J15" s="89"/>
      <c r="K15" s="9"/>
      <c r="L15" s="8"/>
      <c r="M15" s="89"/>
      <c r="N15" s="7"/>
      <c r="O15" s="9"/>
      <c r="P15" s="8"/>
      <c r="Q15" s="97"/>
      <c r="R15" s="7"/>
      <c r="S15" s="89"/>
      <c r="T15" s="7"/>
      <c r="U15" s="98">
        <f>15850+58</f>
        <v>15908</v>
      </c>
      <c r="V15" s="19">
        <f t="shared" si="19"/>
        <v>1443148.3072000002</v>
      </c>
      <c r="W15" s="89">
        <f>2+20+1419</f>
        <v>1441</v>
      </c>
      <c r="X15" s="19">
        <f t="shared" si="19"/>
        <v>130725.21440000001</v>
      </c>
      <c r="Y15" s="85">
        <f t="shared" si="2"/>
        <v>1793774.9232000001</v>
      </c>
      <c r="Z15" s="5" t="s">
        <v>58</v>
      </c>
    </row>
    <row r="16" spans="1:26" x14ac:dyDescent="0.25">
      <c r="A16" s="59" t="s">
        <v>21</v>
      </c>
      <c r="B16" s="120">
        <v>796</v>
      </c>
      <c r="C16" s="35">
        <f t="shared" si="3"/>
        <v>72211.846400000009</v>
      </c>
      <c r="D16" s="89">
        <v>493</v>
      </c>
      <c r="E16" s="35">
        <f t="shared" ref="E16:E21" si="21">D16*1000*200*$C$4/1000</f>
        <v>44724.171200000004</v>
      </c>
      <c r="F16" s="89">
        <v>236</v>
      </c>
      <c r="G16" s="35">
        <f t="shared" si="17"/>
        <v>21409.542399999998</v>
      </c>
      <c r="H16" s="89">
        <v>804</v>
      </c>
      <c r="I16" s="35">
        <f t="shared" ref="I16:N21" si="22">H16*1000*200*$C$4/1000</f>
        <v>72937.593599999993</v>
      </c>
      <c r="J16" s="93">
        <v>4260</v>
      </c>
      <c r="K16" s="41"/>
      <c r="L16" s="42">
        <f t="shared" ref="L16" si="23">J16*1000*200*$C$4/1000</f>
        <v>386460.38400000002</v>
      </c>
      <c r="M16" s="89">
        <v>4213</v>
      </c>
      <c r="N16" s="35">
        <f t="shared" ref="N16" si="24">M16*1000*200*$C$4/1000</f>
        <v>382196.61920000002</v>
      </c>
      <c r="O16" s="41"/>
      <c r="P16" s="42"/>
      <c r="Q16" s="97">
        <v>4098</v>
      </c>
      <c r="R16" s="35">
        <f t="shared" ref="R16" si="25">Q16*1000*200*$C$4/1000</f>
        <v>371764.00319999998</v>
      </c>
      <c r="S16" s="89">
        <f>5+125+19+1194</f>
        <v>1343</v>
      </c>
      <c r="T16" s="35">
        <f t="shared" ref="T16" si="26">S16*1000*200*$C$4/1000</f>
        <v>121834.8112</v>
      </c>
      <c r="U16" s="98"/>
      <c r="V16" s="7"/>
      <c r="W16" s="89"/>
      <c r="X16" s="7"/>
      <c r="Y16" s="85">
        <f t="shared" si="2"/>
        <v>1473538.9712</v>
      </c>
    </row>
    <row r="17" spans="1:26" x14ac:dyDescent="0.25">
      <c r="A17" s="59" t="s">
        <v>22</v>
      </c>
      <c r="B17" s="120">
        <v>863</v>
      </c>
      <c r="C17" s="35">
        <f t="shared" si="3"/>
        <v>78289.979200000002</v>
      </c>
      <c r="D17" s="89">
        <v>509</v>
      </c>
      <c r="E17" s="35">
        <f t="shared" si="21"/>
        <v>46175.6656</v>
      </c>
      <c r="F17" s="89">
        <v>282</v>
      </c>
      <c r="G17" s="35">
        <f t="shared" si="17"/>
        <v>25582.588800000001</v>
      </c>
      <c r="H17" s="89">
        <v>845</v>
      </c>
      <c r="I17" s="35">
        <f t="shared" si="22"/>
        <v>76657.047999999995</v>
      </c>
      <c r="J17" s="93">
        <v>4010</v>
      </c>
      <c r="K17" s="41"/>
      <c r="L17" s="42">
        <f t="shared" ref="L17" si="27">J17*1000*200*$C$4/1000</f>
        <v>363780.78399999999</v>
      </c>
      <c r="M17" s="89">
        <v>4178</v>
      </c>
      <c r="N17" s="35">
        <f t="shared" ref="N17" si="28">M17*1000*200*$C$4/1000</f>
        <v>379021.47519999999</v>
      </c>
      <c r="O17" s="41"/>
      <c r="P17" s="42"/>
      <c r="Q17" s="97">
        <v>3857</v>
      </c>
      <c r="R17" s="35">
        <f t="shared" ref="R17" si="29">Q17*1000*200*$C$4/1000</f>
        <v>349900.8688</v>
      </c>
      <c r="S17" s="89">
        <f>1+198+1+1053</f>
        <v>1253</v>
      </c>
      <c r="T17" s="35">
        <f t="shared" ref="T17" si="30">S17*1000*200*$C$4/1000</f>
        <v>113670.15520000001</v>
      </c>
      <c r="U17" s="98"/>
      <c r="V17" s="7"/>
      <c r="W17" s="89"/>
      <c r="X17" s="7"/>
      <c r="Y17" s="85">
        <f t="shared" si="2"/>
        <v>1433078.5647999998</v>
      </c>
    </row>
    <row r="18" spans="1:26" x14ac:dyDescent="0.25">
      <c r="A18" s="59" t="s">
        <v>23</v>
      </c>
      <c r="B18" s="120">
        <v>920</v>
      </c>
      <c r="C18" s="35">
        <f t="shared" si="3"/>
        <v>83460.928</v>
      </c>
      <c r="D18" s="89">
        <v>517</v>
      </c>
      <c r="E18" s="35">
        <f t="shared" si="21"/>
        <v>46901.412799999998</v>
      </c>
      <c r="F18" s="89">
        <v>421</v>
      </c>
      <c r="G18" s="35">
        <f t="shared" si="17"/>
        <v>38192.446400000001</v>
      </c>
      <c r="H18" s="89">
        <v>920</v>
      </c>
      <c r="I18" s="35">
        <f t="shared" si="22"/>
        <v>83460.928</v>
      </c>
      <c r="J18" s="93">
        <v>4641</v>
      </c>
      <c r="K18" s="41"/>
      <c r="L18" s="42">
        <f t="shared" ref="L18" si="31">J18*1000*200*$C$4/1000</f>
        <v>421024.0944</v>
      </c>
      <c r="M18" s="89">
        <v>4970</v>
      </c>
      <c r="N18" s="35">
        <f t="shared" ref="N18" si="32">M18*1000*200*$C$4/1000</f>
        <v>450870.44799999997</v>
      </c>
      <c r="O18" s="41"/>
      <c r="P18" s="42"/>
      <c r="Q18" s="97">
        <v>3727</v>
      </c>
      <c r="R18" s="35">
        <f t="shared" ref="R18" si="33">Q18*1000*200*$C$4/1000</f>
        <v>338107.4768</v>
      </c>
      <c r="S18" s="89">
        <f>40+233+814</f>
        <v>1087</v>
      </c>
      <c r="T18" s="35">
        <f t="shared" ref="T18" si="34">S18*1000*200*$C$4/1000</f>
        <v>98610.900800000003</v>
      </c>
      <c r="U18" s="98"/>
      <c r="V18" s="7"/>
      <c r="W18" s="89"/>
      <c r="X18" s="7"/>
      <c r="Y18" s="85">
        <f t="shared" si="2"/>
        <v>1560628.6352000001</v>
      </c>
    </row>
    <row r="19" spans="1:26" x14ac:dyDescent="0.25">
      <c r="A19" s="59" t="s">
        <v>24</v>
      </c>
      <c r="B19" s="120">
        <v>1118</v>
      </c>
      <c r="C19" s="35">
        <f t="shared" si="3"/>
        <v>101423.1712</v>
      </c>
      <c r="D19" s="89">
        <v>509</v>
      </c>
      <c r="E19" s="35">
        <f t="shared" si="21"/>
        <v>46175.6656</v>
      </c>
      <c r="F19" s="89">
        <v>551</v>
      </c>
      <c r="G19" s="35">
        <f t="shared" si="17"/>
        <v>49985.838400000001</v>
      </c>
      <c r="H19" s="89">
        <v>1002</v>
      </c>
      <c r="I19" s="35">
        <f t="shared" si="22"/>
        <v>90899.83679999999</v>
      </c>
      <c r="J19" s="93">
        <v>5207</v>
      </c>
      <c r="K19" s="41"/>
      <c r="L19" s="42">
        <f>J19*1000*200*$C$4/1000</f>
        <v>472370.70880000002</v>
      </c>
      <c r="M19" s="89">
        <v>5220</v>
      </c>
      <c r="N19" s="35">
        <f t="shared" si="22"/>
        <v>473550.04800000001</v>
      </c>
      <c r="O19" s="41"/>
      <c r="P19" s="42"/>
      <c r="Q19" s="97">
        <v>3491</v>
      </c>
      <c r="R19" s="35">
        <f t="shared" ref="R19" si="35">Q19*1000*200*$C$4/1000</f>
        <v>316697.93439999997</v>
      </c>
      <c r="S19" s="89">
        <f>121+215+775</f>
        <v>1111</v>
      </c>
      <c r="T19" s="35">
        <f t="shared" ref="T19" si="36">S19*1000*200*$C$4/1000</f>
        <v>100788.14240000001</v>
      </c>
      <c r="U19" s="98"/>
      <c r="V19" s="7"/>
      <c r="W19" s="89"/>
      <c r="X19" s="7"/>
      <c r="Y19" s="85">
        <f t="shared" si="2"/>
        <v>1651891.3455999999</v>
      </c>
    </row>
    <row r="20" spans="1:26" x14ac:dyDescent="0.25">
      <c r="A20" s="59" t="s">
        <v>25</v>
      </c>
      <c r="B20" s="120">
        <v>1138</v>
      </c>
      <c r="C20" s="35">
        <f t="shared" si="3"/>
        <v>103237.5392</v>
      </c>
      <c r="D20" s="89">
        <v>506</v>
      </c>
      <c r="E20" s="35">
        <f t="shared" si="21"/>
        <v>45903.510399999999</v>
      </c>
      <c r="F20" s="89">
        <v>585</v>
      </c>
      <c r="G20" s="35">
        <f t="shared" si="17"/>
        <v>53070.264000000003</v>
      </c>
      <c r="H20" s="89">
        <v>1111</v>
      </c>
      <c r="I20" s="35">
        <f t="shared" si="22"/>
        <v>100788.14240000001</v>
      </c>
      <c r="J20" s="93">
        <v>5760</v>
      </c>
      <c r="K20" s="41"/>
      <c r="L20" s="42">
        <f>J20*1000*200*$C$4/1000</f>
        <v>522537.984</v>
      </c>
      <c r="M20" s="89">
        <v>5628</v>
      </c>
      <c r="N20" s="35">
        <f t="shared" si="22"/>
        <v>510563.15519999998</v>
      </c>
      <c r="O20" s="41"/>
      <c r="P20" s="42"/>
      <c r="Q20" s="97">
        <v>3783</v>
      </c>
      <c r="R20" s="35">
        <f t="shared" ref="R20:T21" si="37">Q20*1000*200*$C$4/1000</f>
        <v>343187.7072</v>
      </c>
      <c r="S20" s="89">
        <f>173+259+769</f>
        <v>1201</v>
      </c>
      <c r="T20" s="35">
        <f t="shared" si="37"/>
        <v>108952.7984</v>
      </c>
      <c r="U20" s="98">
        <f>15559+259</f>
        <v>15818</v>
      </c>
      <c r="V20" s="7"/>
      <c r="W20" s="89"/>
      <c r="X20" s="7"/>
      <c r="Y20" s="85">
        <f t="shared" si="2"/>
        <v>1788241.1007999999</v>
      </c>
    </row>
    <row r="21" spans="1:26" ht="14.4" thickBot="1" x14ac:dyDescent="0.3">
      <c r="A21" s="60" t="s">
        <v>26</v>
      </c>
      <c r="B21" s="121">
        <v>1107</v>
      </c>
      <c r="C21" s="38">
        <f t="shared" si="3"/>
        <v>100425.26879999999</v>
      </c>
      <c r="D21" s="90">
        <v>439</v>
      </c>
      <c r="E21" s="38">
        <f t="shared" si="21"/>
        <v>39825.3776</v>
      </c>
      <c r="F21" s="90">
        <v>638</v>
      </c>
      <c r="G21" s="38">
        <f t="shared" si="17"/>
        <v>57878.339200000002</v>
      </c>
      <c r="H21" s="90">
        <v>1198</v>
      </c>
      <c r="I21" s="38">
        <f t="shared" si="22"/>
        <v>108680.64320000001</v>
      </c>
      <c r="J21" s="94">
        <v>6349</v>
      </c>
      <c r="K21" s="47"/>
      <c r="L21" s="48">
        <f>J21*1000*200*$C$4/1000</f>
        <v>575971.12160000007</v>
      </c>
      <c r="M21" s="95">
        <v>5778</v>
      </c>
      <c r="N21" s="56">
        <f t="shared" si="22"/>
        <v>524170.91519999999</v>
      </c>
      <c r="O21" s="54"/>
      <c r="P21" s="55"/>
      <c r="Q21" s="90">
        <v>3744</v>
      </c>
      <c r="R21" s="38">
        <f t="shared" si="37"/>
        <v>339649.68960000004</v>
      </c>
      <c r="S21" s="90">
        <f>200+284+781</f>
        <v>1265</v>
      </c>
      <c r="T21" s="38">
        <f t="shared" si="37"/>
        <v>114758.776</v>
      </c>
      <c r="U21" s="90">
        <f>16490+284</f>
        <v>16774</v>
      </c>
      <c r="V21" s="7"/>
      <c r="W21" s="99"/>
      <c r="X21" s="18"/>
      <c r="Y21" s="86">
        <f t="shared" si="2"/>
        <v>1861360.1312000002</v>
      </c>
      <c r="Z21" s="57" t="s">
        <v>164</v>
      </c>
    </row>
    <row r="22" spans="1:26" ht="14.4" thickTop="1" x14ac:dyDescent="0.25">
      <c r="A22" s="61" t="s">
        <v>27</v>
      </c>
      <c r="B22" s="118">
        <v>1088</v>
      </c>
      <c r="C22" s="65">
        <v>99000</v>
      </c>
      <c r="D22" s="91"/>
      <c r="E22" s="65">
        <v>36000</v>
      </c>
      <c r="F22" s="91"/>
      <c r="G22" s="65">
        <v>63000</v>
      </c>
      <c r="H22" s="91"/>
      <c r="I22" s="65">
        <v>106000</v>
      </c>
      <c r="J22" s="91"/>
      <c r="K22" s="66"/>
      <c r="L22" s="67">
        <v>654000</v>
      </c>
      <c r="M22" s="91"/>
      <c r="N22" s="65">
        <v>528000</v>
      </c>
      <c r="O22" s="66"/>
      <c r="P22" s="67"/>
      <c r="Q22" s="91"/>
      <c r="R22" s="65">
        <v>338000</v>
      </c>
      <c r="S22" s="91"/>
      <c r="T22" s="65">
        <f>18000+23000+71000</f>
        <v>112000</v>
      </c>
      <c r="U22" s="91"/>
      <c r="V22" s="68"/>
      <c r="W22" s="100"/>
      <c r="X22" s="68"/>
      <c r="Y22" s="87">
        <f t="shared" si="2"/>
        <v>1936000</v>
      </c>
      <c r="Z22" s="5" t="s">
        <v>163</v>
      </c>
    </row>
    <row r="23" spans="1:26" x14ac:dyDescent="0.25">
      <c r="A23" s="59" t="s">
        <v>28</v>
      </c>
      <c r="B23" s="120">
        <v>1263</v>
      </c>
      <c r="C23" s="35">
        <v>115000</v>
      </c>
      <c r="D23" s="89"/>
      <c r="E23" s="35">
        <v>38000</v>
      </c>
      <c r="F23" s="89"/>
      <c r="G23" s="35">
        <v>77000</v>
      </c>
      <c r="H23" s="89"/>
      <c r="I23" s="35">
        <v>111000</v>
      </c>
      <c r="J23" s="89"/>
      <c r="K23" s="41"/>
      <c r="L23" s="42">
        <v>581000</v>
      </c>
      <c r="M23" s="89"/>
      <c r="N23" s="35">
        <v>545000</v>
      </c>
      <c r="O23" s="41"/>
      <c r="P23" s="42"/>
      <c r="Q23" s="89"/>
      <c r="R23" s="35">
        <v>300000</v>
      </c>
      <c r="S23" s="89"/>
      <c r="T23" s="35">
        <f>29000+21000+59000</f>
        <v>109000</v>
      </c>
      <c r="U23" s="89"/>
      <c r="V23" s="11"/>
      <c r="W23" s="98"/>
      <c r="X23" s="11"/>
      <c r="Y23" s="85">
        <f t="shared" si="2"/>
        <v>1876000</v>
      </c>
    </row>
    <row r="24" spans="1:26" x14ac:dyDescent="0.25">
      <c r="A24" s="59" t="s">
        <v>29</v>
      </c>
      <c r="B24" s="120"/>
      <c r="C24" s="35">
        <v>144000</v>
      </c>
      <c r="D24" s="89"/>
      <c r="E24" s="35">
        <v>39000</v>
      </c>
      <c r="F24" s="89"/>
      <c r="G24" s="35">
        <v>82000</v>
      </c>
      <c r="H24" s="89"/>
      <c r="I24" s="35">
        <v>128000</v>
      </c>
      <c r="J24" s="89"/>
      <c r="K24" s="41"/>
      <c r="L24" s="42">
        <v>701000</v>
      </c>
      <c r="M24" s="89"/>
      <c r="N24" s="35">
        <v>662000</v>
      </c>
      <c r="O24" s="41"/>
      <c r="P24" s="42"/>
      <c r="Q24" s="89"/>
      <c r="R24" s="35">
        <v>320000</v>
      </c>
      <c r="S24" s="89"/>
      <c r="T24" s="35">
        <f>42000+22000+64000</f>
        <v>128000</v>
      </c>
      <c r="U24" s="89"/>
      <c r="V24" s="11"/>
      <c r="W24" s="98"/>
      <c r="X24" s="11"/>
      <c r="Y24" s="85">
        <f t="shared" si="2"/>
        <v>2204000</v>
      </c>
    </row>
    <row r="25" spans="1:26" x14ac:dyDescent="0.25">
      <c r="A25" s="59" t="s">
        <v>30</v>
      </c>
      <c r="B25" s="120"/>
      <c r="C25" s="35">
        <v>135000</v>
      </c>
      <c r="D25" s="89"/>
      <c r="E25" s="35">
        <v>38000</v>
      </c>
      <c r="F25" s="89"/>
      <c r="G25" s="35">
        <v>85000</v>
      </c>
      <c r="H25" s="89"/>
      <c r="I25" s="35">
        <v>130000</v>
      </c>
      <c r="J25" s="89"/>
      <c r="K25" s="41"/>
      <c r="L25" s="42">
        <v>640000</v>
      </c>
      <c r="M25" s="89"/>
      <c r="N25" s="35">
        <v>698000</v>
      </c>
      <c r="O25" s="41"/>
      <c r="P25" s="42"/>
      <c r="Q25" s="89"/>
      <c r="R25" s="35">
        <v>305000</v>
      </c>
      <c r="S25" s="89"/>
      <c r="T25" s="35">
        <f>51000+21000+64000</f>
        <v>136000</v>
      </c>
      <c r="U25" s="89"/>
      <c r="V25" s="11"/>
      <c r="W25" s="98"/>
      <c r="X25" s="11"/>
      <c r="Y25" s="85">
        <f t="shared" si="2"/>
        <v>2167000</v>
      </c>
    </row>
    <row r="26" spans="1:26" ht="16.2" x14ac:dyDescent="0.25">
      <c r="A26" s="59" t="s">
        <v>31</v>
      </c>
      <c r="B26" s="120"/>
      <c r="C26" s="35">
        <v>113000</v>
      </c>
      <c r="D26" s="89"/>
      <c r="E26" s="35">
        <v>36000</v>
      </c>
      <c r="F26" s="89"/>
      <c r="G26" s="35">
        <v>83000</v>
      </c>
      <c r="H26" s="89"/>
      <c r="I26" s="35">
        <v>128000</v>
      </c>
      <c r="J26" s="89"/>
      <c r="K26" s="69" t="s">
        <v>61</v>
      </c>
      <c r="L26" s="70">
        <v>1074000</v>
      </c>
      <c r="M26" s="96"/>
      <c r="N26" s="71">
        <v>339000</v>
      </c>
      <c r="O26" s="72"/>
      <c r="P26" s="42"/>
      <c r="Q26" s="89"/>
      <c r="R26" s="35">
        <v>367000</v>
      </c>
      <c r="S26" s="89"/>
      <c r="T26" s="35">
        <f>28000+9000+66000</f>
        <v>103000</v>
      </c>
      <c r="U26" s="89"/>
      <c r="V26" s="11"/>
      <c r="W26" s="98"/>
      <c r="X26" s="11"/>
      <c r="Y26" s="85">
        <f t="shared" si="2"/>
        <v>2243000</v>
      </c>
    </row>
    <row r="27" spans="1:26" x14ac:dyDescent="0.25">
      <c r="A27" s="61" t="s">
        <v>32</v>
      </c>
      <c r="B27" s="118"/>
      <c r="C27" s="35">
        <v>111000</v>
      </c>
      <c r="D27" s="89"/>
      <c r="E27" s="35">
        <v>36000</v>
      </c>
      <c r="F27" s="89"/>
      <c r="G27" s="35">
        <v>89000</v>
      </c>
      <c r="H27" s="89"/>
      <c r="I27" s="35">
        <v>119000</v>
      </c>
      <c r="J27" s="89"/>
      <c r="K27" s="41"/>
      <c r="L27" s="42">
        <v>889000</v>
      </c>
      <c r="M27" s="89"/>
      <c r="N27" s="35">
        <v>500000</v>
      </c>
      <c r="O27" s="41"/>
      <c r="P27" s="42"/>
      <c r="Q27" s="89"/>
      <c r="R27" s="35">
        <v>293000</v>
      </c>
      <c r="S27" s="89"/>
      <c r="T27" s="35">
        <f>47000+13000+64000</f>
        <v>124000</v>
      </c>
      <c r="U27" s="89"/>
      <c r="V27" s="11"/>
      <c r="W27" s="98"/>
      <c r="X27" s="11"/>
      <c r="Y27" s="85">
        <f t="shared" si="2"/>
        <v>2161000</v>
      </c>
    </row>
    <row r="28" spans="1:26" x14ac:dyDescent="0.25">
      <c r="A28" s="59" t="s">
        <v>33</v>
      </c>
      <c r="B28" s="120"/>
      <c r="C28" s="35">
        <v>84000</v>
      </c>
      <c r="D28" s="89"/>
      <c r="E28" s="35">
        <v>39000</v>
      </c>
      <c r="F28" s="89"/>
      <c r="G28" s="35">
        <v>102000</v>
      </c>
      <c r="H28" s="89"/>
      <c r="I28" s="35">
        <v>139000</v>
      </c>
      <c r="J28" s="89"/>
      <c r="K28" s="41"/>
      <c r="L28" s="42">
        <v>810000</v>
      </c>
      <c r="M28" s="89"/>
      <c r="N28" s="35">
        <v>546000</v>
      </c>
      <c r="O28" s="41"/>
      <c r="P28" s="42"/>
      <c r="Q28" s="89"/>
      <c r="R28" s="35">
        <v>254000</v>
      </c>
      <c r="S28" s="89"/>
      <c r="T28" s="35">
        <f>71000+14000+59000</f>
        <v>144000</v>
      </c>
      <c r="U28" s="89"/>
      <c r="V28" s="11"/>
      <c r="W28" s="98"/>
      <c r="X28" s="11"/>
      <c r="Y28" s="85">
        <f t="shared" si="2"/>
        <v>2118000</v>
      </c>
    </row>
    <row r="29" spans="1:26" x14ac:dyDescent="0.25">
      <c r="A29" s="59" t="s">
        <v>34</v>
      </c>
      <c r="B29" s="120"/>
      <c r="C29" s="35">
        <v>116000</v>
      </c>
      <c r="D29" s="89"/>
      <c r="E29" s="35">
        <v>42000</v>
      </c>
      <c r="F29" s="89"/>
      <c r="G29" s="35">
        <v>104000</v>
      </c>
      <c r="H29" s="89"/>
      <c r="I29" s="35">
        <v>153000</v>
      </c>
      <c r="J29" s="89"/>
      <c r="K29" s="41"/>
      <c r="L29" s="42">
        <v>929000</v>
      </c>
      <c r="M29" s="89"/>
      <c r="N29" s="35">
        <v>570000</v>
      </c>
      <c r="O29" s="41"/>
      <c r="P29" s="42"/>
      <c r="Q29" s="89"/>
      <c r="R29" s="35">
        <v>293000</v>
      </c>
      <c r="S29" s="89"/>
      <c r="T29" s="35">
        <f>82000+15000</f>
        <v>97000</v>
      </c>
      <c r="U29" s="89"/>
      <c r="V29" s="11"/>
      <c r="W29" s="98"/>
      <c r="X29" s="11"/>
      <c r="Y29" s="85">
        <f t="shared" si="2"/>
        <v>2304000</v>
      </c>
    </row>
    <row r="30" spans="1:26" x14ac:dyDescent="0.25">
      <c r="A30" s="59" t="s">
        <v>35</v>
      </c>
      <c r="B30" s="120"/>
      <c r="C30" s="35">
        <v>135000</v>
      </c>
      <c r="D30" s="89"/>
      <c r="E30" s="35">
        <v>48000</v>
      </c>
      <c r="F30" s="89"/>
      <c r="G30" s="35">
        <v>111000</v>
      </c>
      <c r="H30" s="89"/>
      <c r="I30" s="35">
        <v>159000</v>
      </c>
      <c r="J30" s="89"/>
      <c r="K30" s="41"/>
      <c r="L30" s="42">
        <v>895000</v>
      </c>
      <c r="M30" s="89"/>
      <c r="N30" s="35">
        <v>586000</v>
      </c>
      <c r="O30" s="41"/>
      <c r="P30" s="42"/>
      <c r="Q30" s="89"/>
      <c r="R30" s="35">
        <v>250000</v>
      </c>
      <c r="S30" s="89"/>
      <c r="T30" s="35">
        <v>74000</v>
      </c>
      <c r="U30" s="89"/>
      <c r="V30" s="11"/>
      <c r="W30" s="98"/>
      <c r="X30" s="11"/>
      <c r="Y30" s="85">
        <f t="shared" si="2"/>
        <v>2258000</v>
      </c>
    </row>
    <row r="31" spans="1:26" ht="16.2" x14ac:dyDescent="0.25">
      <c r="A31" s="59" t="s">
        <v>36</v>
      </c>
      <c r="B31" s="120"/>
      <c r="C31" s="35">
        <v>164000</v>
      </c>
      <c r="D31" s="89"/>
      <c r="E31" s="35">
        <v>49000</v>
      </c>
      <c r="F31" s="89"/>
      <c r="G31" s="35">
        <v>111000</v>
      </c>
      <c r="H31" s="89"/>
      <c r="I31" s="35">
        <v>160000</v>
      </c>
      <c r="J31" s="89"/>
      <c r="K31" s="41"/>
      <c r="L31" s="42">
        <v>915000</v>
      </c>
      <c r="M31" s="89"/>
      <c r="N31" s="35">
        <v>617000</v>
      </c>
      <c r="O31" s="69" t="s">
        <v>62</v>
      </c>
      <c r="P31" s="42">
        <v>131000</v>
      </c>
      <c r="Q31" s="89"/>
      <c r="R31" s="35">
        <v>266000</v>
      </c>
      <c r="S31" s="89"/>
      <c r="T31" s="35">
        <f>104000+14000+78000</f>
        <v>196000</v>
      </c>
      <c r="U31" s="89"/>
      <c r="V31" s="11"/>
      <c r="W31" s="98"/>
      <c r="X31" s="11"/>
      <c r="Y31" s="85">
        <f t="shared" si="2"/>
        <v>2609000</v>
      </c>
    </row>
    <row r="32" spans="1:26" x14ac:dyDescent="0.25">
      <c r="A32" s="59" t="s">
        <v>37</v>
      </c>
      <c r="B32" s="120"/>
      <c r="C32" s="35">
        <v>165000</v>
      </c>
      <c r="D32" s="89"/>
      <c r="E32" s="35">
        <v>50000</v>
      </c>
      <c r="F32" s="89"/>
      <c r="G32" s="35">
        <v>117000</v>
      </c>
      <c r="H32" s="89"/>
      <c r="I32" s="35">
        <v>162000</v>
      </c>
      <c r="J32" s="89"/>
      <c r="K32" s="41"/>
      <c r="L32" s="42">
        <v>965000</v>
      </c>
      <c r="M32" s="89"/>
      <c r="N32" s="35">
        <v>638000</v>
      </c>
      <c r="O32" s="41"/>
      <c r="P32" s="42">
        <v>163000</v>
      </c>
      <c r="Q32" s="89"/>
      <c r="R32" s="35">
        <v>278000</v>
      </c>
      <c r="S32" s="89"/>
      <c r="T32" s="35">
        <f>131000+14000+79000</f>
        <v>224000</v>
      </c>
      <c r="U32" s="89"/>
      <c r="V32" s="11"/>
      <c r="W32" s="98"/>
      <c r="X32" s="11"/>
      <c r="Y32" s="85">
        <f t="shared" si="2"/>
        <v>2762000</v>
      </c>
    </row>
    <row r="33" spans="1:25" x14ac:dyDescent="0.25">
      <c r="A33" s="59" t="s">
        <v>38</v>
      </c>
      <c r="B33" s="120"/>
      <c r="C33" s="35">
        <v>184000</v>
      </c>
      <c r="D33" s="89"/>
      <c r="E33" s="35">
        <v>56000</v>
      </c>
      <c r="F33" s="89"/>
      <c r="G33" s="35">
        <v>136000</v>
      </c>
      <c r="H33" s="89"/>
      <c r="I33" s="35">
        <v>171000</v>
      </c>
      <c r="J33" s="89"/>
      <c r="K33" s="41"/>
      <c r="L33" s="42">
        <v>1017000</v>
      </c>
      <c r="M33" s="89"/>
      <c r="N33" s="35">
        <v>699000</v>
      </c>
      <c r="O33" s="41"/>
      <c r="P33" s="42">
        <v>211000</v>
      </c>
      <c r="Q33" s="89"/>
      <c r="R33" s="35">
        <v>293000</v>
      </c>
      <c r="S33" s="89"/>
      <c r="T33" s="35">
        <f>30000+3000</f>
        <v>33000</v>
      </c>
      <c r="U33" s="89"/>
      <c r="V33" s="11"/>
      <c r="W33" s="98"/>
      <c r="X33" s="11"/>
      <c r="Y33" s="85">
        <f t="shared" si="2"/>
        <v>2800000</v>
      </c>
    </row>
    <row r="34" spans="1:25" x14ac:dyDescent="0.25">
      <c r="A34" s="62" t="s">
        <v>39</v>
      </c>
      <c r="B34" s="120"/>
      <c r="C34" s="7" t="s">
        <v>176</v>
      </c>
      <c r="D34" s="89"/>
      <c r="E34" s="35">
        <v>55000</v>
      </c>
      <c r="F34" s="89"/>
      <c r="G34" s="35">
        <v>146000</v>
      </c>
      <c r="H34" s="89"/>
      <c r="I34" s="35">
        <v>172000</v>
      </c>
      <c r="J34" s="89"/>
      <c r="K34" s="41"/>
      <c r="L34" s="42">
        <v>872000</v>
      </c>
      <c r="M34" s="89"/>
      <c r="N34" s="35">
        <v>742000</v>
      </c>
      <c r="O34" s="41"/>
      <c r="P34" s="42">
        <v>232000</v>
      </c>
      <c r="Q34" s="89"/>
      <c r="R34" s="35">
        <v>280000</v>
      </c>
      <c r="S34" s="89"/>
      <c r="T34" s="35">
        <v>34000</v>
      </c>
      <c r="U34" s="89"/>
      <c r="V34" s="11"/>
      <c r="W34" s="98"/>
      <c r="X34" s="11"/>
      <c r="Y34" s="85">
        <f>E34+G34+I34+L34+N34+P34+R34+T34+V34+X34</f>
        <v>2533000</v>
      </c>
    </row>
    <row r="35" spans="1:25" x14ac:dyDescent="0.25">
      <c r="A35" s="62" t="s">
        <v>40</v>
      </c>
      <c r="B35" s="120"/>
      <c r="C35" s="7"/>
      <c r="D35" s="89"/>
      <c r="E35" s="35">
        <v>53000</v>
      </c>
      <c r="F35" s="89"/>
      <c r="G35" s="35">
        <v>161000</v>
      </c>
      <c r="H35" s="89"/>
      <c r="I35" s="35">
        <v>168000</v>
      </c>
      <c r="J35" s="89"/>
      <c r="K35" s="41"/>
      <c r="L35" s="42">
        <v>915000</v>
      </c>
      <c r="M35" s="89"/>
      <c r="N35" s="35">
        <v>809000</v>
      </c>
      <c r="O35" s="41"/>
      <c r="P35" s="42">
        <v>249000</v>
      </c>
      <c r="Q35" s="89"/>
      <c r="R35" s="35">
        <v>283000</v>
      </c>
      <c r="S35" s="89"/>
      <c r="T35" s="35">
        <v>14000</v>
      </c>
      <c r="U35" s="89"/>
      <c r="V35" s="11"/>
      <c r="W35" s="98"/>
      <c r="X35" s="11"/>
      <c r="Y35" s="85">
        <f t="shared" ref="Y35:Y52" si="38">C35+E35+G35+I35+L35+N35+P35+R35+T35+V35+X35</f>
        <v>2652000</v>
      </c>
    </row>
    <row r="36" spans="1:25" x14ac:dyDescent="0.25">
      <c r="A36" s="63" t="s">
        <v>41</v>
      </c>
      <c r="B36" s="122"/>
      <c r="C36" s="7"/>
      <c r="D36" s="89"/>
      <c r="E36" s="35">
        <v>50000</v>
      </c>
      <c r="F36" s="89"/>
      <c r="G36" s="35">
        <v>159000</v>
      </c>
      <c r="H36" s="89"/>
      <c r="I36" s="35">
        <v>174000</v>
      </c>
      <c r="J36" s="89"/>
      <c r="K36" s="41"/>
      <c r="L36" s="42">
        <v>834000</v>
      </c>
      <c r="M36" s="89"/>
      <c r="N36" s="43">
        <v>761000</v>
      </c>
      <c r="O36" s="44"/>
      <c r="P36" s="42">
        <v>269000</v>
      </c>
      <c r="Q36" s="89"/>
      <c r="R36" s="35">
        <v>276000</v>
      </c>
      <c r="S36" s="89"/>
      <c r="T36" s="35">
        <v>12000</v>
      </c>
      <c r="U36" s="89"/>
      <c r="V36" s="11"/>
      <c r="W36" s="98"/>
      <c r="X36" s="11"/>
      <c r="Y36" s="85">
        <f t="shared" si="38"/>
        <v>2535000</v>
      </c>
    </row>
    <row r="37" spans="1:25" x14ac:dyDescent="0.25">
      <c r="A37" s="63" t="s">
        <v>42</v>
      </c>
      <c r="B37" s="122"/>
      <c r="C37" s="7"/>
      <c r="D37" s="89"/>
      <c r="E37" s="35">
        <v>50000</v>
      </c>
      <c r="F37" s="89"/>
      <c r="G37" s="35">
        <v>154000</v>
      </c>
      <c r="H37" s="89"/>
      <c r="I37" s="35">
        <v>160000</v>
      </c>
      <c r="J37" s="89"/>
      <c r="K37" s="41"/>
      <c r="L37" s="42">
        <v>778000</v>
      </c>
      <c r="M37" s="89"/>
      <c r="N37" s="35">
        <v>798000</v>
      </c>
      <c r="O37" s="41"/>
      <c r="P37" s="42">
        <v>306000</v>
      </c>
      <c r="Q37" s="89"/>
      <c r="R37" s="35">
        <v>257000</v>
      </c>
      <c r="S37" s="89"/>
      <c r="T37" s="35">
        <f>19000+3000</f>
        <v>22000</v>
      </c>
      <c r="U37" s="89"/>
      <c r="V37" s="11"/>
      <c r="W37" s="98"/>
      <c r="X37" s="11"/>
      <c r="Y37" s="85">
        <f t="shared" si="38"/>
        <v>2525000</v>
      </c>
    </row>
    <row r="38" spans="1:25" x14ac:dyDescent="0.25">
      <c r="A38" s="63" t="s">
        <v>43</v>
      </c>
      <c r="B38" s="122"/>
      <c r="C38" s="7"/>
      <c r="D38" s="89"/>
      <c r="E38" s="35">
        <v>49000</v>
      </c>
      <c r="F38" s="89"/>
      <c r="G38" s="35">
        <v>148000</v>
      </c>
      <c r="H38" s="89"/>
      <c r="I38" s="35">
        <v>165000</v>
      </c>
      <c r="J38" s="89"/>
      <c r="K38" s="41"/>
      <c r="L38" s="42">
        <v>775000</v>
      </c>
      <c r="M38" s="89"/>
      <c r="N38" s="35">
        <v>927000</v>
      </c>
      <c r="O38" s="41"/>
      <c r="P38" s="42">
        <v>334000</v>
      </c>
      <c r="Q38" s="89"/>
      <c r="R38" s="35">
        <v>246000</v>
      </c>
      <c r="S38" s="89"/>
      <c r="T38" s="35">
        <f>3000+9000</f>
        <v>12000</v>
      </c>
      <c r="U38" s="89"/>
      <c r="V38" s="11"/>
      <c r="W38" s="98"/>
      <c r="X38" s="11"/>
      <c r="Y38" s="85">
        <f t="shared" si="38"/>
        <v>2656000</v>
      </c>
    </row>
    <row r="39" spans="1:25" x14ac:dyDescent="0.25">
      <c r="A39" s="63" t="s">
        <v>44</v>
      </c>
      <c r="B39" s="122"/>
      <c r="C39" s="7"/>
      <c r="D39" s="89"/>
      <c r="E39" s="35">
        <v>43000</v>
      </c>
      <c r="F39" s="89"/>
      <c r="G39" s="35">
        <v>146000</v>
      </c>
      <c r="H39" s="89"/>
      <c r="I39" s="35">
        <v>165000</v>
      </c>
      <c r="J39" s="89"/>
      <c r="K39" s="41"/>
      <c r="L39" s="42">
        <v>779000</v>
      </c>
      <c r="M39" s="89"/>
      <c r="N39" s="35">
        <v>931000</v>
      </c>
      <c r="O39" s="41"/>
      <c r="P39" s="42">
        <v>295000</v>
      </c>
      <c r="Q39" s="89"/>
      <c r="R39" s="35">
        <v>255000</v>
      </c>
      <c r="S39" s="89"/>
      <c r="T39" s="35">
        <f>11000+4000</f>
        <v>15000</v>
      </c>
      <c r="U39" s="89"/>
      <c r="V39" s="11"/>
      <c r="W39" s="98"/>
      <c r="X39" s="11"/>
      <c r="Y39" s="85">
        <f t="shared" si="38"/>
        <v>2629000</v>
      </c>
    </row>
    <row r="40" spans="1:25" x14ac:dyDescent="0.25">
      <c r="A40" s="63" t="s">
        <v>45</v>
      </c>
      <c r="B40" s="122"/>
      <c r="C40" s="7"/>
      <c r="D40" s="89"/>
      <c r="E40" s="35">
        <v>36000</v>
      </c>
      <c r="F40" s="89"/>
      <c r="G40" s="35">
        <v>144000</v>
      </c>
      <c r="H40" s="89"/>
      <c r="I40" s="35">
        <v>152000</v>
      </c>
      <c r="J40" s="89"/>
      <c r="K40" s="41"/>
      <c r="L40" s="73">
        <v>735000</v>
      </c>
      <c r="M40" s="89"/>
      <c r="N40" s="35">
        <v>854000</v>
      </c>
      <c r="O40" s="41"/>
      <c r="P40" s="42">
        <v>272000</v>
      </c>
      <c r="Q40" s="89"/>
      <c r="R40" s="35">
        <v>207000</v>
      </c>
      <c r="S40" s="89"/>
      <c r="T40" s="35">
        <f>6000+12000</f>
        <v>18000</v>
      </c>
      <c r="U40" s="89"/>
      <c r="V40" s="11"/>
      <c r="W40" s="98"/>
      <c r="X40" s="11"/>
      <c r="Y40" s="85">
        <f t="shared" si="38"/>
        <v>2418000</v>
      </c>
    </row>
    <row r="41" spans="1:25" x14ac:dyDescent="0.25">
      <c r="A41" s="63" t="s">
        <v>46</v>
      </c>
      <c r="B41" s="122"/>
      <c r="C41" s="7"/>
      <c r="D41" s="89"/>
      <c r="E41" s="35">
        <v>37000</v>
      </c>
      <c r="F41" s="89"/>
      <c r="G41" s="35">
        <v>130000</v>
      </c>
      <c r="H41" s="89"/>
      <c r="I41" s="35">
        <v>151000</v>
      </c>
      <c r="J41" s="89"/>
      <c r="K41" s="41"/>
      <c r="L41" s="42">
        <v>749000</v>
      </c>
      <c r="M41" s="89"/>
      <c r="N41" s="35">
        <v>900000</v>
      </c>
      <c r="O41" s="41"/>
      <c r="P41" s="42">
        <v>293000</v>
      </c>
      <c r="Q41" s="89"/>
      <c r="R41" s="35">
        <v>227000</v>
      </c>
      <c r="S41" s="89"/>
      <c r="T41" s="35">
        <f>10000+2000</f>
        <v>12000</v>
      </c>
      <c r="U41" s="89"/>
      <c r="V41" s="7"/>
      <c r="W41" s="89"/>
      <c r="X41" s="7"/>
      <c r="Y41" s="85">
        <f t="shared" si="38"/>
        <v>2499000</v>
      </c>
    </row>
    <row r="42" spans="1:25" x14ac:dyDescent="0.25">
      <c r="A42" s="63" t="s">
        <v>47</v>
      </c>
      <c r="B42" s="122"/>
      <c r="C42" s="7"/>
      <c r="D42" s="89"/>
      <c r="E42" s="35">
        <v>31000</v>
      </c>
      <c r="F42" s="89"/>
      <c r="G42" s="35">
        <v>134000</v>
      </c>
      <c r="H42" s="89"/>
      <c r="I42" s="35">
        <v>122000</v>
      </c>
      <c r="J42" s="89"/>
      <c r="K42" s="41"/>
      <c r="L42" s="42">
        <v>709000</v>
      </c>
      <c r="M42" s="89"/>
      <c r="N42" s="35">
        <v>832000</v>
      </c>
      <c r="O42" s="41"/>
      <c r="P42" s="42">
        <v>284000</v>
      </c>
      <c r="Q42" s="89"/>
      <c r="R42" s="35">
        <v>219000</v>
      </c>
      <c r="S42" s="89"/>
      <c r="T42" s="35">
        <f>3000+11000</f>
        <v>14000</v>
      </c>
      <c r="U42" s="89"/>
      <c r="V42" s="7"/>
      <c r="W42" s="89"/>
      <c r="X42" s="7"/>
      <c r="Y42" s="85">
        <f t="shared" si="38"/>
        <v>2345000</v>
      </c>
    </row>
    <row r="43" spans="1:25" x14ac:dyDescent="0.25">
      <c r="A43" s="63" t="s">
        <v>48</v>
      </c>
      <c r="B43" s="122"/>
      <c r="C43" s="7"/>
      <c r="D43" s="89"/>
      <c r="E43" s="35">
        <v>27000</v>
      </c>
      <c r="F43" s="89"/>
      <c r="G43" s="35">
        <v>125000</v>
      </c>
      <c r="H43" s="89"/>
      <c r="I43" s="35">
        <v>128000</v>
      </c>
      <c r="J43" s="89"/>
      <c r="K43" s="41"/>
      <c r="L43" s="42">
        <v>668000</v>
      </c>
      <c r="M43" s="89"/>
      <c r="N43" s="35">
        <v>870000</v>
      </c>
      <c r="O43" s="41"/>
      <c r="P43" s="42">
        <v>334000</v>
      </c>
      <c r="Q43" s="89"/>
      <c r="R43" s="35">
        <v>215000</v>
      </c>
      <c r="S43" s="89"/>
      <c r="T43" s="35">
        <f>2000+10000</f>
        <v>12000</v>
      </c>
      <c r="U43" s="89"/>
      <c r="V43" s="7"/>
      <c r="W43" s="89"/>
      <c r="X43" s="7"/>
      <c r="Y43" s="85">
        <f t="shared" si="38"/>
        <v>2379000</v>
      </c>
    </row>
    <row r="44" spans="1:25" x14ac:dyDescent="0.25">
      <c r="A44" s="63" t="s">
        <v>49</v>
      </c>
      <c r="B44" s="122"/>
      <c r="C44" s="7"/>
      <c r="D44" s="89"/>
      <c r="E44" s="35">
        <v>22000</v>
      </c>
      <c r="F44" s="89"/>
      <c r="G44" s="35">
        <v>143000</v>
      </c>
      <c r="H44" s="89"/>
      <c r="I44" s="35">
        <v>117000</v>
      </c>
      <c r="J44" s="89"/>
      <c r="K44" s="41"/>
      <c r="L44" s="42">
        <v>568000</v>
      </c>
      <c r="M44" s="89"/>
      <c r="N44" s="35">
        <v>861000</v>
      </c>
      <c r="O44" s="41"/>
      <c r="P44" s="42">
        <v>348000</v>
      </c>
      <c r="Q44" s="89"/>
      <c r="R44" s="35">
        <v>193000</v>
      </c>
      <c r="S44" s="89"/>
      <c r="T44" s="35">
        <f>9000+8000</f>
        <v>17000</v>
      </c>
      <c r="U44" s="89"/>
      <c r="V44" s="7"/>
      <c r="W44" s="89"/>
      <c r="X44" s="7"/>
      <c r="Y44" s="85">
        <f t="shared" si="38"/>
        <v>2269000</v>
      </c>
    </row>
    <row r="45" spans="1:25" x14ac:dyDescent="0.25">
      <c r="A45" s="63" t="s">
        <v>50</v>
      </c>
      <c r="B45" s="122"/>
      <c r="C45" s="7"/>
      <c r="D45" s="89"/>
      <c r="E45" s="35">
        <v>21000</v>
      </c>
      <c r="F45" s="89"/>
      <c r="G45" s="35">
        <v>155000</v>
      </c>
      <c r="H45" s="89"/>
      <c r="I45" s="35">
        <v>116000</v>
      </c>
      <c r="J45" s="89"/>
      <c r="K45" s="41"/>
      <c r="L45" s="42">
        <v>529000</v>
      </c>
      <c r="M45" s="89"/>
      <c r="N45" s="35">
        <v>902000</v>
      </c>
      <c r="O45" s="41"/>
      <c r="P45" s="42">
        <v>385000</v>
      </c>
      <c r="Q45" s="89"/>
      <c r="R45" s="35">
        <v>176000</v>
      </c>
      <c r="S45" s="89"/>
      <c r="T45" s="35">
        <f>2000+8000</f>
        <v>10000</v>
      </c>
      <c r="U45" s="89"/>
      <c r="V45" s="7"/>
      <c r="W45" s="89"/>
      <c r="X45" s="7"/>
      <c r="Y45" s="85">
        <f t="shared" si="38"/>
        <v>2294000</v>
      </c>
    </row>
    <row r="46" spans="1:25" x14ac:dyDescent="0.25">
      <c r="A46" s="63" t="s">
        <v>51</v>
      </c>
      <c r="B46" s="122"/>
      <c r="C46" s="7"/>
      <c r="D46" s="89"/>
      <c r="E46" s="35">
        <v>22000</v>
      </c>
      <c r="F46" s="89"/>
      <c r="G46" s="35">
        <v>164000</v>
      </c>
      <c r="H46" s="89"/>
      <c r="I46" s="35">
        <v>120000</v>
      </c>
      <c r="J46" s="89"/>
      <c r="K46" s="41"/>
      <c r="L46" s="42">
        <v>507000</v>
      </c>
      <c r="M46" s="89"/>
      <c r="N46" s="35">
        <v>930000</v>
      </c>
      <c r="O46" s="41"/>
      <c r="P46" s="42">
        <v>415000</v>
      </c>
      <c r="Q46" s="89"/>
      <c r="R46" s="35">
        <v>178000</v>
      </c>
      <c r="S46" s="89"/>
      <c r="T46" s="35">
        <f>15000+8000</f>
        <v>23000</v>
      </c>
      <c r="U46" s="89"/>
      <c r="V46" s="7"/>
      <c r="W46" s="89"/>
      <c r="X46" s="7"/>
      <c r="Y46" s="85">
        <f t="shared" si="38"/>
        <v>2359000</v>
      </c>
    </row>
    <row r="47" spans="1:25" x14ac:dyDescent="0.25">
      <c r="A47" s="63" t="s">
        <v>52</v>
      </c>
      <c r="B47" s="122"/>
      <c r="C47" s="7"/>
      <c r="D47" s="89"/>
      <c r="E47" s="35">
        <v>20000</v>
      </c>
      <c r="F47" s="89"/>
      <c r="G47" s="35">
        <v>184000</v>
      </c>
      <c r="H47" s="89"/>
      <c r="I47" s="35">
        <v>122000</v>
      </c>
      <c r="J47" s="89"/>
      <c r="K47" s="41"/>
      <c r="L47" s="42">
        <v>515000</v>
      </c>
      <c r="M47" s="89"/>
      <c r="N47" s="35">
        <v>954000</v>
      </c>
      <c r="O47" s="41"/>
      <c r="P47" s="42">
        <v>447000</v>
      </c>
      <c r="Q47" s="89"/>
      <c r="R47" s="35">
        <v>176000</v>
      </c>
      <c r="S47" s="89"/>
      <c r="T47" s="35">
        <f>8000+9000</f>
        <v>17000</v>
      </c>
      <c r="U47" s="89"/>
      <c r="V47" s="7"/>
      <c r="W47" s="89"/>
      <c r="X47" s="7"/>
      <c r="Y47" s="85">
        <f t="shared" si="38"/>
        <v>2435000</v>
      </c>
    </row>
    <row r="48" spans="1:25" x14ac:dyDescent="0.25">
      <c r="A48" s="63" t="s">
        <v>53</v>
      </c>
      <c r="B48" s="122"/>
      <c r="C48" s="7"/>
      <c r="D48" s="89"/>
      <c r="E48" s="35">
        <v>22000</v>
      </c>
      <c r="F48" s="89"/>
      <c r="G48" s="35">
        <v>185000</v>
      </c>
      <c r="H48" s="89"/>
      <c r="I48" s="35">
        <v>128000</v>
      </c>
      <c r="J48" s="89"/>
      <c r="K48" s="41"/>
      <c r="L48" s="42">
        <v>592000</v>
      </c>
      <c r="M48" s="89"/>
      <c r="N48" s="35">
        <v>963000</v>
      </c>
      <c r="O48" s="41"/>
      <c r="P48" s="42">
        <v>415000</v>
      </c>
      <c r="Q48" s="89"/>
      <c r="R48" s="35">
        <v>200000</v>
      </c>
      <c r="S48" s="89"/>
      <c r="T48" s="35">
        <f>10000+3000</f>
        <v>13000</v>
      </c>
      <c r="U48" s="89"/>
      <c r="V48" s="11"/>
      <c r="W48" s="98"/>
      <c r="X48" s="11"/>
      <c r="Y48" s="85">
        <f t="shared" si="38"/>
        <v>2518000</v>
      </c>
    </row>
    <row r="49" spans="1:26" x14ac:dyDescent="0.25">
      <c r="A49" s="64" t="s">
        <v>54</v>
      </c>
      <c r="B49" s="123"/>
      <c r="C49" s="7"/>
      <c r="D49" s="89"/>
      <c r="E49" s="35">
        <v>24000</v>
      </c>
      <c r="F49" s="89"/>
      <c r="G49" s="35">
        <v>176000</v>
      </c>
      <c r="H49" s="89"/>
      <c r="I49" s="35">
        <v>127000</v>
      </c>
      <c r="J49" s="89"/>
      <c r="K49" s="41"/>
      <c r="L49" s="42">
        <v>620000</v>
      </c>
      <c r="M49" s="89"/>
      <c r="N49" s="35">
        <v>971000</v>
      </c>
      <c r="O49" s="41"/>
      <c r="P49" s="42">
        <v>448000</v>
      </c>
      <c r="Q49" s="89"/>
      <c r="R49" s="35">
        <v>173000</v>
      </c>
      <c r="S49" s="89"/>
      <c r="T49" s="35">
        <f>9000+2000</f>
        <v>11000</v>
      </c>
      <c r="U49" s="89"/>
      <c r="V49" s="11"/>
      <c r="W49" s="98"/>
      <c r="X49" s="11"/>
      <c r="Y49" s="85">
        <f t="shared" si="38"/>
        <v>2550000</v>
      </c>
    </row>
    <row r="50" spans="1:26" x14ac:dyDescent="0.25">
      <c r="A50" s="64" t="s">
        <v>55</v>
      </c>
      <c r="B50" s="123"/>
      <c r="C50" s="7"/>
      <c r="D50" s="89"/>
      <c r="E50" s="35">
        <v>29000</v>
      </c>
      <c r="F50" s="89"/>
      <c r="G50" s="35">
        <v>141000</v>
      </c>
      <c r="H50" s="89"/>
      <c r="I50" s="35">
        <v>105000</v>
      </c>
      <c r="J50" s="89"/>
      <c r="K50" s="41"/>
      <c r="L50" s="42">
        <v>592000</v>
      </c>
      <c r="M50" s="89"/>
      <c r="N50" s="35">
        <v>945000</v>
      </c>
      <c r="O50" s="41"/>
      <c r="P50" s="42">
        <v>493000</v>
      </c>
      <c r="Q50" s="89"/>
      <c r="R50" s="35">
        <v>112000</v>
      </c>
      <c r="S50" s="89"/>
      <c r="T50" s="35">
        <f>3000+8000</f>
        <v>11000</v>
      </c>
      <c r="U50" s="89"/>
      <c r="V50" s="11"/>
      <c r="W50" s="98"/>
      <c r="X50" s="11"/>
      <c r="Y50" s="85">
        <f t="shared" si="38"/>
        <v>2428000</v>
      </c>
    </row>
    <row r="51" spans="1:26" x14ac:dyDescent="0.25">
      <c r="A51" s="64" t="s">
        <v>56</v>
      </c>
      <c r="B51" s="123"/>
      <c r="C51" s="7"/>
      <c r="D51" s="89"/>
      <c r="E51" s="35">
        <v>20000</v>
      </c>
      <c r="F51" s="89"/>
      <c r="G51" s="35">
        <v>141000</v>
      </c>
      <c r="H51" s="89"/>
      <c r="I51" s="35">
        <v>115000</v>
      </c>
      <c r="J51" s="89"/>
      <c r="K51" s="41"/>
      <c r="L51" s="42">
        <v>548000</v>
      </c>
      <c r="M51" s="89"/>
      <c r="N51" s="35">
        <v>936000</v>
      </c>
      <c r="O51" s="41"/>
      <c r="P51" s="42">
        <v>508000</v>
      </c>
      <c r="Q51" s="89"/>
      <c r="R51" s="35">
        <v>117000</v>
      </c>
      <c r="S51" s="89"/>
      <c r="T51" s="35">
        <f>10000+9000</f>
        <v>19000</v>
      </c>
      <c r="U51" s="89"/>
      <c r="V51" s="11"/>
      <c r="W51" s="98"/>
      <c r="X51" s="11"/>
      <c r="Y51" s="85">
        <f t="shared" si="38"/>
        <v>2404000</v>
      </c>
      <c r="Z51" s="27"/>
    </row>
    <row r="52" spans="1:26" ht="14.4" thickBot="1" x14ac:dyDescent="0.3">
      <c r="A52" s="124" t="s">
        <v>57</v>
      </c>
      <c r="B52" s="125"/>
      <c r="C52" s="15"/>
      <c r="D52" s="92"/>
      <c r="E52" s="37">
        <v>20000</v>
      </c>
      <c r="F52" s="92"/>
      <c r="G52" s="37">
        <v>101000</v>
      </c>
      <c r="H52" s="92"/>
      <c r="I52" s="37">
        <v>105000</v>
      </c>
      <c r="J52" s="92"/>
      <c r="K52" s="45"/>
      <c r="L52" s="46">
        <v>461000</v>
      </c>
      <c r="M52" s="92"/>
      <c r="N52" s="37">
        <v>968000</v>
      </c>
      <c r="O52" s="45"/>
      <c r="P52" s="46">
        <v>623000</v>
      </c>
      <c r="Q52" s="92"/>
      <c r="R52" s="37">
        <v>77000</v>
      </c>
      <c r="S52" s="92"/>
      <c r="T52" s="37">
        <f>12000+8000</f>
        <v>20000</v>
      </c>
      <c r="U52" s="92"/>
      <c r="V52" s="16"/>
      <c r="W52" s="126"/>
      <c r="X52" s="20"/>
      <c r="Y52" s="127">
        <f t="shared" si="38"/>
        <v>2375000</v>
      </c>
      <c r="Z52" s="74"/>
    </row>
    <row r="53" spans="1:26" ht="18.600000000000001" thickBot="1" x14ac:dyDescent="0.4">
      <c r="A53" s="385" t="s">
        <v>161</v>
      </c>
      <c r="B53" s="386"/>
      <c r="C53" s="386"/>
      <c r="D53" s="386"/>
      <c r="E53" s="386"/>
      <c r="F53" s="386"/>
      <c r="G53" s="386"/>
      <c r="H53" s="386"/>
      <c r="I53" s="386"/>
      <c r="J53" s="386"/>
      <c r="K53" s="386"/>
      <c r="L53" s="386"/>
      <c r="M53" s="386"/>
      <c r="N53" s="386"/>
      <c r="O53" s="386"/>
      <c r="P53" s="386"/>
      <c r="Q53" s="386"/>
      <c r="R53" s="386"/>
      <c r="S53" s="386"/>
      <c r="T53" s="386"/>
      <c r="U53" s="386"/>
      <c r="V53" s="386"/>
      <c r="W53" s="386"/>
      <c r="X53" s="386"/>
      <c r="Y53" s="387"/>
      <c r="Z53" s="27"/>
    </row>
    <row r="54" spans="1:26" x14ac:dyDescent="0.25">
      <c r="A54" s="128" t="s">
        <v>157</v>
      </c>
      <c r="B54" s="118"/>
      <c r="C54" s="34">
        <v>1305565</v>
      </c>
      <c r="D54" s="101"/>
      <c r="E54" s="34">
        <v>8894</v>
      </c>
      <c r="F54" s="129"/>
      <c r="G54" s="34">
        <v>47392</v>
      </c>
      <c r="H54" s="101"/>
      <c r="I54" s="34">
        <v>107965</v>
      </c>
      <c r="J54" s="101"/>
      <c r="K54" s="39"/>
      <c r="L54" s="40">
        <v>28005</v>
      </c>
      <c r="M54" s="101"/>
      <c r="N54" s="34">
        <v>401344</v>
      </c>
      <c r="O54" s="39"/>
      <c r="P54" s="40">
        <v>2275099</v>
      </c>
      <c r="Q54" s="101"/>
      <c r="R54" s="34">
        <v>12290</v>
      </c>
      <c r="S54" s="101"/>
      <c r="T54" s="34">
        <v>90475</v>
      </c>
      <c r="U54" s="129"/>
      <c r="V54" s="130"/>
      <c r="W54" s="131"/>
      <c r="X54" s="130"/>
      <c r="Y54" s="87">
        <f>C54+E54+G54+I54+L54+N54+P54+R54+T54+V54+X54</f>
        <v>4277029</v>
      </c>
    </row>
    <row r="55" spans="1:26" x14ac:dyDescent="0.25">
      <c r="A55" s="166" t="s">
        <v>158</v>
      </c>
      <c r="B55" s="119"/>
      <c r="C55" s="37">
        <v>1430700</v>
      </c>
      <c r="D55" s="92"/>
      <c r="E55" s="37">
        <v>8727</v>
      </c>
      <c r="F55" s="132"/>
      <c r="G55" s="37">
        <v>60423</v>
      </c>
      <c r="H55" s="92"/>
      <c r="I55" s="37">
        <v>112676</v>
      </c>
      <c r="J55" s="92"/>
      <c r="K55" s="45"/>
      <c r="L55" s="46">
        <v>37556</v>
      </c>
      <c r="M55" s="92"/>
      <c r="N55" s="37">
        <v>357886</v>
      </c>
      <c r="O55" s="45"/>
      <c r="P55" s="46">
        <v>2388000</v>
      </c>
      <c r="Q55" s="132"/>
      <c r="R55" s="133">
        <v>10376</v>
      </c>
      <c r="S55" s="92"/>
      <c r="T55" s="133">
        <v>113303</v>
      </c>
      <c r="U55" s="132"/>
      <c r="V55" s="134"/>
      <c r="W55" s="135"/>
      <c r="X55" s="136"/>
      <c r="Y55" s="127">
        <f>C55+E55+G55+I55+L55+N55+P55+R55+T55+V55+X55</f>
        <v>4519647</v>
      </c>
    </row>
    <row r="56" spans="1:26" ht="14.4" thickBot="1" x14ac:dyDescent="0.3">
      <c r="A56" s="166" t="s">
        <v>229</v>
      </c>
      <c r="B56" s="119"/>
      <c r="C56" s="37">
        <v>912098</v>
      </c>
      <c r="D56" s="92"/>
      <c r="E56" s="37">
        <v>5172</v>
      </c>
      <c r="F56" s="132"/>
      <c r="G56" s="37">
        <v>41133</v>
      </c>
      <c r="H56" s="92"/>
      <c r="I56" s="37">
        <v>74276</v>
      </c>
      <c r="J56" s="92"/>
      <c r="K56" s="45"/>
      <c r="L56" s="46">
        <v>22459</v>
      </c>
      <c r="M56" s="92"/>
      <c r="N56" s="37">
        <v>227326</v>
      </c>
      <c r="O56" s="45"/>
      <c r="P56" s="46">
        <v>1511950</v>
      </c>
      <c r="Q56" s="132"/>
      <c r="R56" s="133">
        <v>4949</v>
      </c>
      <c r="S56" s="92"/>
      <c r="T56" s="133">
        <v>68863</v>
      </c>
      <c r="U56" s="132"/>
      <c r="V56" s="134"/>
      <c r="W56" s="135"/>
      <c r="X56" s="136"/>
      <c r="Y56" s="127">
        <f>C56+E56+G56+I56+L56+N56+P56+R56+T56+V56+X56</f>
        <v>2868226</v>
      </c>
    </row>
    <row r="57" spans="1:26" ht="14.4" thickBot="1" x14ac:dyDescent="0.3">
      <c r="A57" s="137" t="s">
        <v>170</v>
      </c>
      <c r="B57" s="138"/>
      <c r="C57" s="139">
        <f>SUM(C5:C55)</f>
        <v>5335545.4783999994</v>
      </c>
      <c r="D57" s="140"/>
      <c r="E57" s="139">
        <f t="shared" ref="E57:X57" si="39">SUM(E5:E55)</f>
        <v>2049378.6768</v>
      </c>
      <c r="F57" s="140"/>
      <c r="G57" s="139">
        <f t="shared" si="39"/>
        <v>4532915.1295999996</v>
      </c>
      <c r="H57" s="140"/>
      <c r="I57" s="139">
        <f t="shared" si="39"/>
        <v>5662920.9456000002</v>
      </c>
      <c r="J57" s="167"/>
      <c r="K57" s="169"/>
      <c r="L57" s="170">
        <f t="shared" si="39"/>
        <v>25623706.0768</v>
      </c>
      <c r="M57" s="168"/>
      <c r="N57" s="139">
        <f t="shared" si="39"/>
        <v>27261602.660800003</v>
      </c>
      <c r="O57" s="164"/>
      <c r="P57" s="165">
        <f t="shared" si="39"/>
        <v>12118099</v>
      </c>
      <c r="Q57" s="140"/>
      <c r="R57" s="139">
        <f t="shared" si="39"/>
        <v>9505973.6799999997</v>
      </c>
      <c r="S57" s="140"/>
      <c r="T57" s="139">
        <f t="shared" si="39"/>
        <v>2648393.5839999998</v>
      </c>
      <c r="U57" s="140"/>
      <c r="V57" s="139">
        <f t="shared" si="39"/>
        <v>13383141.241599999</v>
      </c>
      <c r="W57" s="140"/>
      <c r="X57" s="139">
        <f t="shared" si="39"/>
        <v>1515813.7456</v>
      </c>
      <c r="Y57" s="141">
        <f>SUM(Y5:Y55)</f>
        <v>109637490.21920002</v>
      </c>
      <c r="Z57" s="27">
        <f>SUM(C57:X57)</f>
        <v>109637490.2192</v>
      </c>
    </row>
    <row r="58" spans="1:26" x14ac:dyDescent="0.25">
      <c r="A58" s="53" t="s">
        <v>64</v>
      </c>
      <c r="B58" s="50"/>
      <c r="C58" s="51"/>
      <c r="D58" s="51"/>
      <c r="E58" s="51"/>
      <c r="F58" s="51"/>
      <c r="G58" s="51"/>
      <c r="H58" s="51"/>
      <c r="I58" s="51"/>
      <c r="J58" s="51"/>
      <c r="K58" s="51"/>
      <c r="L58" s="51"/>
      <c r="M58" s="51"/>
      <c r="N58" s="51"/>
      <c r="O58" s="51"/>
      <c r="P58" s="51"/>
      <c r="Q58" s="51"/>
      <c r="R58" s="51"/>
      <c r="S58" s="51"/>
      <c r="T58" s="51"/>
      <c r="U58" s="51"/>
      <c r="V58" s="52"/>
      <c r="W58" s="52"/>
      <c r="X58" s="52"/>
      <c r="Y58" s="49"/>
    </row>
    <row r="59" spans="1:26" x14ac:dyDescent="0.25">
      <c r="A59" s="53" t="s">
        <v>59</v>
      </c>
      <c r="B59" s="50"/>
      <c r="C59" s="51"/>
      <c r="D59" s="51"/>
      <c r="E59" s="51"/>
      <c r="F59" s="51"/>
      <c r="G59" s="51"/>
      <c r="H59" s="51"/>
      <c r="I59" s="51"/>
      <c r="J59" s="51"/>
      <c r="K59" s="51"/>
      <c r="L59" s="51"/>
      <c r="M59" s="51"/>
      <c r="N59" s="51"/>
      <c r="O59" s="51"/>
      <c r="P59" s="51"/>
      <c r="Q59" s="51"/>
      <c r="R59" s="51"/>
      <c r="S59" s="51"/>
      <c r="T59" s="51"/>
      <c r="U59" s="51"/>
      <c r="V59" s="52"/>
      <c r="W59" s="52"/>
      <c r="X59" s="52"/>
      <c r="Y59" s="49"/>
    </row>
    <row r="60" spans="1:26" ht="37.5" customHeight="1" x14ac:dyDescent="0.25">
      <c r="A60" s="379" t="s">
        <v>63</v>
      </c>
      <c r="B60" s="379"/>
      <c r="C60" s="379"/>
      <c r="D60" s="379"/>
      <c r="E60" s="379"/>
      <c r="F60" s="379"/>
      <c r="G60" s="379"/>
      <c r="H60" s="379"/>
      <c r="I60" s="379"/>
      <c r="J60" s="379"/>
      <c r="K60" s="379"/>
      <c r="L60" s="379"/>
      <c r="M60" s="379"/>
      <c r="N60" s="379"/>
      <c r="O60" s="379"/>
      <c r="P60" s="379"/>
      <c r="Q60" s="379"/>
      <c r="R60" s="379"/>
      <c r="S60" s="379"/>
      <c r="T60" s="379"/>
      <c r="U60" s="379"/>
      <c r="V60" s="379"/>
      <c r="W60" s="379"/>
      <c r="X60" s="379"/>
      <c r="Y60" s="49"/>
    </row>
    <row r="61" spans="1:26" ht="15.75" customHeight="1" x14ac:dyDescent="0.25">
      <c r="A61" s="50" t="s">
        <v>65</v>
      </c>
      <c r="B61" s="50"/>
      <c r="C61" s="51"/>
      <c r="D61" s="51"/>
      <c r="E61" s="51"/>
      <c r="F61" s="51"/>
      <c r="G61" s="51"/>
      <c r="H61" s="51"/>
      <c r="I61" s="51"/>
      <c r="J61" s="51"/>
      <c r="K61" s="51"/>
      <c r="L61" s="51"/>
      <c r="M61" s="51"/>
      <c r="N61" s="51"/>
      <c r="O61" s="51"/>
      <c r="P61" s="51"/>
      <c r="Q61" s="51"/>
      <c r="R61" s="51"/>
      <c r="S61" s="51"/>
      <c r="T61" s="51"/>
      <c r="U61" s="51"/>
      <c r="V61" s="52"/>
      <c r="W61" s="52"/>
      <c r="X61" s="52"/>
      <c r="Y61" s="49"/>
    </row>
    <row r="62" spans="1:26" x14ac:dyDescent="0.25">
      <c r="A62" s="50" t="s">
        <v>178</v>
      </c>
      <c r="B62" s="50"/>
      <c r="C62" s="51"/>
      <c r="D62" s="51"/>
      <c r="E62" s="51"/>
      <c r="F62" s="51"/>
      <c r="G62" s="51"/>
      <c r="H62" s="51"/>
      <c r="I62" s="51"/>
      <c r="J62" s="51"/>
      <c r="K62" s="51"/>
      <c r="L62" s="51"/>
      <c r="M62" s="51"/>
      <c r="N62" s="51"/>
      <c r="O62" s="51"/>
      <c r="P62" s="51"/>
      <c r="Q62" s="51"/>
      <c r="R62" s="51"/>
      <c r="S62" s="51"/>
      <c r="T62" s="51"/>
      <c r="U62" s="51"/>
      <c r="V62" s="52"/>
      <c r="W62" s="52"/>
      <c r="X62" s="52"/>
      <c r="Y62" s="49"/>
    </row>
    <row r="63" spans="1:26" x14ac:dyDescent="0.25">
      <c r="A63" s="50"/>
      <c r="B63" s="50"/>
      <c r="C63" s="51"/>
      <c r="D63" s="51"/>
      <c r="E63" s="51"/>
      <c r="F63" s="51"/>
      <c r="G63" s="51"/>
      <c r="H63" s="51"/>
      <c r="I63" s="51"/>
      <c r="J63" s="51"/>
      <c r="K63" s="51"/>
      <c r="L63" s="51"/>
      <c r="M63" s="51"/>
      <c r="N63" s="51"/>
      <c r="O63" s="51"/>
      <c r="P63" s="51"/>
      <c r="Q63" s="51"/>
      <c r="R63" s="51"/>
      <c r="S63" s="51"/>
      <c r="T63" s="51"/>
      <c r="U63" s="51"/>
      <c r="V63" s="52"/>
      <c r="W63" s="52"/>
      <c r="X63" s="52"/>
      <c r="Y63" s="49"/>
    </row>
    <row r="64" spans="1:26" x14ac:dyDescent="0.25">
      <c r="A64" s="142" t="s">
        <v>159</v>
      </c>
      <c r="B64" s="50"/>
      <c r="C64" s="51"/>
      <c r="D64" s="51"/>
      <c r="E64" s="51"/>
      <c r="F64" s="51"/>
      <c r="G64" s="51"/>
      <c r="H64" s="51"/>
      <c r="I64" s="51"/>
      <c r="J64" s="51"/>
      <c r="K64" s="51"/>
      <c r="L64" s="51"/>
      <c r="M64" s="51"/>
      <c r="N64" s="51"/>
      <c r="O64" s="51"/>
      <c r="P64" s="51"/>
      <c r="Q64" s="51"/>
      <c r="R64" s="51"/>
      <c r="S64" s="51"/>
      <c r="T64" s="51"/>
      <c r="U64" s="51"/>
      <c r="V64" s="52"/>
      <c r="W64" s="52"/>
      <c r="X64" s="52"/>
      <c r="Y64" s="49"/>
    </row>
    <row r="65" spans="1:25" x14ac:dyDescent="0.25">
      <c r="A65" s="143" t="s">
        <v>160</v>
      </c>
      <c r="B65" s="50"/>
      <c r="C65" s="51"/>
      <c r="D65" s="51"/>
      <c r="E65" s="51"/>
      <c r="F65" s="51"/>
      <c r="G65" s="51"/>
      <c r="H65" s="51"/>
      <c r="I65" s="51"/>
      <c r="J65" s="51"/>
      <c r="K65" s="51"/>
      <c r="L65" s="51"/>
      <c r="M65" s="51"/>
      <c r="N65" s="51"/>
      <c r="O65" s="51"/>
      <c r="P65" s="51"/>
      <c r="Q65" s="51"/>
      <c r="R65" s="51"/>
      <c r="S65" s="51"/>
      <c r="T65" s="51"/>
      <c r="U65" s="51"/>
      <c r="V65" s="52"/>
      <c r="W65" s="52"/>
      <c r="X65" s="52"/>
      <c r="Y65" s="49"/>
    </row>
    <row r="66" spans="1:25" ht="15.75" customHeight="1" x14ac:dyDescent="0.25">
      <c r="A66" s="380" t="s">
        <v>230</v>
      </c>
      <c r="B66" s="379"/>
      <c r="C66" s="379"/>
      <c r="D66" s="379"/>
      <c r="E66" s="379"/>
      <c r="F66" s="379"/>
      <c r="G66" s="379"/>
      <c r="H66" s="379"/>
      <c r="I66" s="379"/>
      <c r="J66" s="379"/>
      <c r="K66" s="379"/>
      <c r="L66" s="379"/>
      <c r="M66" s="379"/>
      <c r="N66" s="379"/>
      <c r="O66" s="379"/>
      <c r="P66" s="379"/>
      <c r="Q66" s="379"/>
      <c r="R66" s="379"/>
      <c r="S66" s="379"/>
      <c r="T66" s="379"/>
      <c r="U66" s="379"/>
      <c r="V66" s="379"/>
      <c r="W66" s="379"/>
      <c r="X66" s="379"/>
      <c r="Y66" s="49"/>
    </row>
    <row r="67" spans="1:25" x14ac:dyDescent="0.25">
      <c r="A67" s="50"/>
      <c r="B67" s="50"/>
      <c r="C67" s="51"/>
      <c r="D67" s="51"/>
      <c r="E67" s="51"/>
      <c r="F67" s="51"/>
      <c r="G67" s="51"/>
      <c r="H67" s="51"/>
      <c r="I67" s="51"/>
      <c r="J67" s="51"/>
      <c r="K67" s="51"/>
      <c r="L67" s="51"/>
      <c r="M67" s="51"/>
      <c r="N67" s="51"/>
      <c r="O67" s="51"/>
      <c r="P67" s="51"/>
      <c r="Q67" s="51"/>
      <c r="R67" s="51"/>
      <c r="S67" s="51"/>
      <c r="T67" s="51"/>
      <c r="U67" s="51"/>
      <c r="V67" s="52"/>
      <c r="W67" s="52"/>
      <c r="X67" s="52"/>
      <c r="Y67" s="49"/>
    </row>
  </sheetData>
  <mergeCells count="5">
    <mergeCell ref="A60:X60"/>
    <mergeCell ref="A66:X66"/>
    <mergeCell ref="A1:X1"/>
    <mergeCell ref="A3:Y3"/>
    <mergeCell ref="A53:Y53"/>
  </mergeCells>
  <pageMargins left="0.7" right="0.7" top="0.75" bottom="0.75" header="0.3" footer="0.3"/>
  <pageSetup paperSize="9" orientation="portrait" r:id="rId1"/>
  <ignoredErrors>
    <ignoredError sqref="P57"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Charts</vt:lpstr>
      </vt:variant>
      <vt:variant>
        <vt:i4>4</vt:i4>
      </vt:variant>
    </vt:vector>
  </HeadingPairs>
  <TitlesOfParts>
    <vt:vector size="9" baseType="lpstr">
      <vt:lpstr>White M Products</vt:lpstr>
      <vt:lpstr>Yellow M Products</vt:lpstr>
      <vt:lpstr>Highlights Maize History</vt:lpstr>
      <vt:lpstr>Historic WM Products</vt:lpstr>
      <vt:lpstr>White Maize Prod BRON</vt:lpstr>
      <vt:lpstr>WM Meal Chart</vt:lpstr>
      <vt:lpstr>WM Rice Grit Samp Chart</vt:lpstr>
      <vt:lpstr>Whole Maize  Capita</vt:lpstr>
      <vt:lpstr>Usage per capita</vt:lpstr>
    </vt:vector>
  </TitlesOfParts>
  <Company>Sagis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Sanet Naude</dc:creator>
  <cp:lastModifiedBy>Sanet Naude</cp:lastModifiedBy>
  <dcterms:created xsi:type="dcterms:W3CDTF">2016-05-13T06:04:20Z</dcterms:created>
  <dcterms:modified xsi:type="dcterms:W3CDTF">2026-09-08T06:13:40Z</dcterms:modified>
</cp:coreProperties>
</file>