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VB\Web\Wordpress Website\SMD\2017\"/>
    </mc:Choice>
  </mc:AlternateContent>
  <xr:revisionPtr revIDLastSave="0" documentId="8_{F5000CFE-5AFF-4A90-9476-C9B08844AD6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weet" sheetId="1" r:id="rId1"/>
    <sheet name="Bitter" sheetId="2" r:id="rId2"/>
    <sheet name="Langstaat" sheetId="3" r:id="rId3"/>
    <sheet name="AFR_Kort" sheetId="4" r:id="rId4"/>
    <sheet name="ZULU_Kort" sheetId="5" r:id="rId5"/>
    <sheet name="TSWANA_Kort" sheetId="6" r:id="rId6"/>
    <sheet name="DeurvoerSweet" sheetId="7" r:id="rId7"/>
    <sheet name="DeurvoerBitter" sheetId="8" r:id="rId8"/>
    <sheet name="ProdExpSweet" sheetId="9" r:id="rId9"/>
    <sheet name="ProdExpBitter" sheetId="10" r:id="rId10"/>
    <sheet name="SMB91Summary" sheetId="11" r:id="rId11"/>
    <sheet name="S&amp;D Langstaat" sheetId="12" r:id="rId12"/>
    <sheet name="Langstaat_NO_PROTECTION" sheetId="13" r:id="rId13"/>
    <sheet name="AFR_Kort_NOProtect" sheetId="14" r:id="rId14"/>
  </sheets>
  <externalReferences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Q7" i="6" l="1"/>
  <c r="Q7" i="5"/>
  <c r="Q5" i="4"/>
  <c r="O57" i="14" l="1"/>
  <c r="O56" i="14"/>
  <c r="O55" i="14"/>
  <c r="O54" i="14"/>
  <c r="N54" i="14"/>
  <c r="O50" i="14"/>
  <c r="N50" i="14"/>
  <c r="P50" i="14" s="1"/>
  <c r="J45" i="14"/>
  <c r="J12" i="14"/>
  <c r="O11" i="14"/>
  <c r="N11" i="14"/>
  <c r="P11" i="14" s="1"/>
  <c r="J10" i="14"/>
  <c r="J6" i="14"/>
  <c r="Q5" i="14"/>
  <c r="D3" i="14"/>
  <c r="Q2" i="14"/>
  <c r="E53" i="13"/>
  <c r="D53" i="13"/>
  <c r="AI3" i="12"/>
  <c r="AF3" i="12"/>
  <c r="AC3" i="12"/>
  <c r="Z3" i="12"/>
  <c r="W3" i="12"/>
  <c r="T3" i="12"/>
  <c r="Q3" i="12"/>
  <c r="N3" i="12"/>
  <c r="K3" i="12"/>
  <c r="H3" i="12"/>
  <c r="E3" i="12"/>
  <c r="B3" i="12"/>
  <c r="K121" i="11"/>
  <c r="F119" i="11"/>
  <c r="E119" i="11"/>
  <c r="G119" i="11" s="1"/>
  <c r="F118" i="11"/>
  <c r="E118" i="11"/>
  <c r="K117" i="11"/>
  <c r="J117" i="11"/>
  <c r="L117" i="11" s="1"/>
  <c r="G117" i="11"/>
  <c r="F117" i="11"/>
  <c r="E117" i="11"/>
  <c r="K116" i="11"/>
  <c r="J116" i="11"/>
  <c r="F116" i="11"/>
  <c r="E116" i="11"/>
  <c r="G116" i="11" s="1"/>
  <c r="K111" i="11"/>
  <c r="F109" i="11"/>
  <c r="E109" i="11"/>
  <c r="G108" i="11"/>
  <c r="F108" i="11"/>
  <c r="E108" i="11"/>
  <c r="K107" i="11"/>
  <c r="J107" i="11"/>
  <c r="L107" i="11" s="1"/>
  <c r="F107" i="11"/>
  <c r="E107" i="11"/>
  <c r="K106" i="11"/>
  <c r="J106" i="11"/>
  <c r="F106" i="11"/>
  <c r="E106" i="11"/>
  <c r="G99" i="11"/>
  <c r="F99" i="11"/>
  <c r="E99" i="11"/>
  <c r="G98" i="11"/>
  <c r="F98" i="11"/>
  <c r="E98" i="11"/>
  <c r="K97" i="11"/>
  <c r="J97" i="11"/>
  <c r="L97" i="11" s="1"/>
  <c r="F97" i="11"/>
  <c r="E97" i="11"/>
  <c r="K96" i="11"/>
  <c r="L96" i="11" s="1"/>
  <c r="J96" i="11"/>
  <c r="F96" i="11"/>
  <c r="E96" i="11"/>
  <c r="G96" i="11" s="1"/>
  <c r="K91" i="11"/>
  <c r="G89" i="11"/>
  <c r="F89" i="11"/>
  <c r="E89" i="11"/>
  <c r="F88" i="11"/>
  <c r="E88" i="11"/>
  <c r="K87" i="11"/>
  <c r="J87" i="11"/>
  <c r="L87" i="11" s="1"/>
  <c r="F87" i="11"/>
  <c r="G87" i="11" s="1"/>
  <c r="E87" i="11"/>
  <c r="L86" i="11"/>
  <c r="K86" i="11"/>
  <c r="J86" i="11"/>
  <c r="J91" i="11" s="1"/>
  <c r="F86" i="11"/>
  <c r="E86" i="11"/>
  <c r="G86" i="11" s="1"/>
  <c r="K81" i="11"/>
  <c r="F79" i="11"/>
  <c r="E79" i="11"/>
  <c r="F78" i="11"/>
  <c r="E78" i="11"/>
  <c r="L77" i="11"/>
  <c r="K77" i="11"/>
  <c r="J77" i="11"/>
  <c r="F77" i="11"/>
  <c r="G77" i="11" s="1"/>
  <c r="E77" i="11"/>
  <c r="K76" i="11"/>
  <c r="J76" i="11"/>
  <c r="J81" i="11" s="1"/>
  <c r="F76" i="11"/>
  <c r="E76" i="11"/>
  <c r="G71" i="11"/>
  <c r="G70" i="11"/>
  <c r="F69" i="11"/>
  <c r="E69" i="11"/>
  <c r="G69" i="11" s="1"/>
  <c r="F68" i="11"/>
  <c r="E68" i="11"/>
  <c r="K67" i="11"/>
  <c r="J67" i="11"/>
  <c r="L67" i="11" s="1"/>
  <c r="F67" i="11"/>
  <c r="E67" i="11"/>
  <c r="K66" i="11"/>
  <c r="L66" i="11" s="1"/>
  <c r="J66" i="11"/>
  <c r="F66" i="11"/>
  <c r="E66" i="11"/>
  <c r="G66" i="11" s="1"/>
  <c r="F59" i="11"/>
  <c r="E59" i="11"/>
  <c r="G59" i="11" s="1"/>
  <c r="F58" i="11"/>
  <c r="E58" i="11"/>
  <c r="G58" i="11" s="1"/>
  <c r="L57" i="11"/>
  <c r="K57" i="11"/>
  <c r="F57" i="11"/>
  <c r="E57" i="11"/>
  <c r="G57" i="11" s="1"/>
  <c r="K56" i="11"/>
  <c r="K61" i="11" s="1"/>
  <c r="J56" i="11"/>
  <c r="J61" i="11" s="1"/>
  <c r="F56" i="11"/>
  <c r="E56" i="11"/>
  <c r="G56" i="11" s="1"/>
  <c r="F49" i="11"/>
  <c r="E49" i="11"/>
  <c r="G49" i="11" s="1"/>
  <c r="G48" i="11"/>
  <c r="F48" i="11"/>
  <c r="E48" i="11"/>
  <c r="K47" i="11"/>
  <c r="J47" i="11"/>
  <c r="F47" i="11"/>
  <c r="E47" i="11"/>
  <c r="G47" i="11" s="1"/>
  <c r="K46" i="11"/>
  <c r="K51" i="11" s="1"/>
  <c r="J46" i="11"/>
  <c r="L46" i="11" s="1"/>
  <c r="F46" i="11"/>
  <c r="E46" i="11"/>
  <c r="G46" i="11" s="1"/>
  <c r="G39" i="11"/>
  <c r="F39" i="11"/>
  <c r="E39" i="11"/>
  <c r="F38" i="11"/>
  <c r="G38" i="11" s="1"/>
  <c r="E38" i="11"/>
  <c r="K37" i="11"/>
  <c r="J37" i="11"/>
  <c r="L37" i="11" s="1"/>
  <c r="F37" i="11"/>
  <c r="E37" i="11"/>
  <c r="K36" i="11"/>
  <c r="J36" i="11"/>
  <c r="L36" i="11" s="1"/>
  <c r="F36" i="11"/>
  <c r="E36" i="11"/>
  <c r="G29" i="11"/>
  <c r="F29" i="11"/>
  <c r="E29" i="11"/>
  <c r="F28" i="11"/>
  <c r="E28" i="11"/>
  <c r="G28" i="11" s="1"/>
  <c r="K27" i="11"/>
  <c r="J27" i="11"/>
  <c r="L27" i="11" s="1"/>
  <c r="F27" i="11"/>
  <c r="E27" i="11"/>
  <c r="K26" i="11"/>
  <c r="J26" i="11"/>
  <c r="L26" i="11" s="1"/>
  <c r="F26" i="11"/>
  <c r="E26" i="11"/>
  <c r="G26" i="11" s="1"/>
  <c r="F19" i="11"/>
  <c r="G19" i="11" s="1"/>
  <c r="E19" i="11"/>
  <c r="F18" i="11"/>
  <c r="E18" i="11"/>
  <c r="G18" i="11" s="1"/>
  <c r="K17" i="11"/>
  <c r="J17" i="11"/>
  <c r="F17" i="11"/>
  <c r="E17" i="11"/>
  <c r="G17" i="11" s="1"/>
  <c r="K16" i="11"/>
  <c r="J16" i="11"/>
  <c r="F16" i="11"/>
  <c r="E16" i="11"/>
  <c r="G16" i="11" s="1"/>
  <c r="F9" i="11"/>
  <c r="E9" i="11"/>
  <c r="G9" i="11" s="1"/>
  <c r="G8" i="11"/>
  <c r="F8" i="11"/>
  <c r="E8" i="11"/>
  <c r="K7" i="11"/>
  <c r="J7" i="11"/>
  <c r="L7" i="11" s="1"/>
  <c r="F7" i="11"/>
  <c r="E7" i="11"/>
  <c r="G7" i="11" s="1"/>
  <c r="K6" i="11"/>
  <c r="J6" i="11"/>
  <c r="F6" i="11"/>
  <c r="E6" i="11"/>
  <c r="G6" i="11" s="1"/>
  <c r="B6" i="11"/>
  <c r="D36" i="10"/>
  <c r="C36" i="10"/>
  <c r="B36" i="10"/>
  <c r="J35" i="10"/>
  <c r="I35" i="10"/>
  <c r="H35" i="10"/>
  <c r="G35" i="10"/>
  <c r="F35" i="10"/>
  <c r="E35" i="10"/>
  <c r="J34" i="10"/>
  <c r="I34" i="10"/>
  <c r="H34" i="10"/>
  <c r="G34" i="10"/>
  <c r="F34" i="10"/>
  <c r="E34" i="10"/>
  <c r="J33" i="10"/>
  <c r="I33" i="10"/>
  <c r="H33" i="10"/>
  <c r="G33" i="10"/>
  <c r="F33" i="10"/>
  <c r="E33" i="10"/>
  <c r="J32" i="10"/>
  <c r="I32" i="10"/>
  <c r="H32" i="10"/>
  <c r="G32" i="10"/>
  <c r="K32" i="10" s="1"/>
  <c r="F32" i="10"/>
  <c r="E32" i="10"/>
  <c r="J31" i="10"/>
  <c r="I31" i="10"/>
  <c r="H31" i="10"/>
  <c r="G31" i="10"/>
  <c r="F31" i="10"/>
  <c r="E31" i="10"/>
  <c r="J30" i="10"/>
  <c r="I30" i="10"/>
  <c r="H30" i="10"/>
  <c r="G30" i="10"/>
  <c r="F30" i="10"/>
  <c r="E30" i="10"/>
  <c r="J29" i="10"/>
  <c r="I29" i="10"/>
  <c r="H29" i="10"/>
  <c r="G29" i="10"/>
  <c r="F29" i="10"/>
  <c r="E29" i="10"/>
  <c r="J28" i="10"/>
  <c r="I28" i="10"/>
  <c r="H28" i="10"/>
  <c r="G28" i="10"/>
  <c r="K28" i="10" s="1"/>
  <c r="F28" i="10"/>
  <c r="E28" i="10"/>
  <c r="J27" i="10"/>
  <c r="I27" i="10"/>
  <c r="H27" i="10"/>
  <c r="G27" i="10"/>
  <c r="F27" i="10"/>
  <c r="E27" i="10"/>
  <c r="J26" i="10"/>
  <c r="I26" i="10"/>
  <c r="H26" i="10"/>
  <c r="G26" i="10"/>
  <c r="F26" i="10"/>
  <c r="E26" i="10"/>
  <c r="J25" i="10"/>
  <c r="I25" i="10"/>
  <c r="I36" i="10" s="1"/>
  <c r="H25" i="10"/>
  <c r="G25" i="10"/>
  <c r="F25" i="10"/>
  <c r="E25" i="10"/>
  <c r="J24" i="10"/>
  <c r="I24" i="10"/>
  <c r="H24" i="10"/>
  <c r="H36" i="10" s="1"/>
  <c r="G24" i="10"/>
  <c r="K24" i="10" s="1"/>
  <c r="F24" i="10"/>
  <c r="E24" i="10"/>
  <c r="D17" i="10"/>
  <c r="C17" i="10"/>
  <c r="B17" i="10"/>
  <c r="J16" i="10"/>
  <c r="I16" i="10"/>
  <c r="H16" i="10"/>
  <c r="G16" i="10"/>
  <c r="F16" i="10"/>
  <c r="E16" i="10"/>
  <c r="J15" i="10"/>
  <c r="I15" i="10"/>
  <c r="H15" i="10"/>
  <c r="G15" i="10"/>
  <c r="F15" i="10"/>
  <c r="E15" i="10"/>
  <c r="J14" i="10"/>
  <c r="I14" i="10"/>
  <c r="H14" i="10"/>
  <c r="G14" i="10"/>
  <c r="F14" i="10"/>
  <c r="E14" i="10"/>
  <c r="J13" i="10"/>
  <c r="I13" i="10"/>
  <c r="H13" i="10"/>
  <c r="G13" i="10"/>
  <c r="F13" i="10"/>
  <c r="E13" i="10"/>
  <c r="J12" i="10"/>
  <c r="I12" i="10"/>
  <c r="H12" i="10"/>
  <c r="G12" i="10"/>
  <c r="F12" i="10"/>
  <c r="E12" i="10"/>
  <c r="J11" i="10"/>
  <c r="I11" i="10"/>
  <c r="H11" i="10"/>
  <c r="G11" i="10"/>
  <c r="F11" i="10"/>
  <c r="E11" i="10"/>
  <c r="J10" i="10"/>
  <c r="I10" i="10"/>
  <c r="H10" i="10"/>
  <c r="G10" i="10"/>
  <c r="F10" i="10"/>
  <c r="E10" i="10"/>
  <c r="J9" i="10"/>
  <c r="I9" i="10"/>
  <c r="H9" i="10"/>
  <c r="G9" i="10"/>
  <c r="F9" i="10"/>
  <c r="E9" i="10"/>
  <c r="J8" i="10"/>
  <c r="I8" i="10"/>
  <c r="H8" i="10"/>
  <c r="G8" i="10"/>
  <c r="F8" i="10"/>
  <c r="E8" i="10"/>
  <c r="J7" i="10"/>
  <c r="I7" i="10"/>
  <c r="H7" i="10"/>
  <c r="G7" i="10"/>
  <c r="F7" i="10"/>
  <c r="E7" i="10"/>
  <c r="J6" i="10"/>
  <c r="I6" i="10"/>
  <c r="H6" i="10"/>
  <c r="G6" i="10"/>
  <c r="F6" i="10"/>
  <c r="E6" i="10"/>
  <c r="J5" i="10"/>
  <c r="J17" i="10" s="1"/>
  <c r="I5" i="10"/>
  <c r="H5" i="10"/>
  <c r="G5" i="10"/>
  <c r="F5" i="10"/>
  <c r="E5" i="10"/>
  <c r="D36" i="9"/>
  <c r="C36" i="9"/>
  <c r="B36" i="9"/>
  <c r="J35" i="9"/>
  <c r="I35" i="9"/>
  <c r="H35" i="9"/>
  <c r="G35" i="9"/>
  <c r="F35" i="9"/>
  <c r="E35" i="9"/>
  <c r="J34" i="9"/>
  <c r="I34" i="9"/>
  <c r="H34" i="9"/>
  <c r="G34" i="9"/>
  <c r="F34" i="9"/>
  <c r="E34" i="9"/>
  <c r="J33" i="9"/>
  <c r="I33" i="9"/>
  <c r="H33" i="9"/>
  <c r="G33" i="9"/>
  <c r="F33" i="9"/>
  <c r="E33" i="9"/>
  <c r="J32" i="9"/>
  <c r="I32" i="9"/>
  <c r="H32" i="9"/>
  <c r="G32" i="9"/>
  <c r="F32" i="9"/>
  <c r="E32" i="9"/>
  <c r="J31" i="9"/>
  <c r="I31" i="9"/>
  <c r="H31" i="9"/>
  <c r="G31" i="9"/>
  <c r="F31" i="9"/>
  <c r="E31" i="9"/>
  <c r="J30" i="9"/>
  <c r="I30" i="9"/>
  <c r="H30" i="9"/>
  <c r="G30" i="9"/>
  <c r="F30" i="9"/>
  <c r="E30" i="9"/>
  <c r="J29" i="9"/>
  <c r="I29" i="9"/>
  <c r="H29" i="9"/>
  <c r="G29" i="9"/>
  <c r="F29" i="9"/>
  <c r="E29" i="9"/>
  <c r="J28" i="9"/>
  <c r="I28" i="9"/>
  <c r="H28" i="9"/>
  <c r="G28" i="9"/>
  <c r="F28" i="9"/>
  <c r="E28" i="9"/>
  <c r="J27" i="9"/>
  <c r="I27" i="9"/>
  <c r="H27" i="9"/>
  <c r="G27" i="9"/>
  <c r="F27" i="9"/>
  <c r="E27" i="9"/>
  <c r="J26" i="9"/>
  <c r="I26" i="9"/>
  <c r="H26" i="9"/>
  <c r="G26" i="9"/>
  <c r="F26" i="9"/>
  <c r="E26" i="9"/>
  <c r="J25" i="9"/>
  <c r="I25" i="9"/>
  <c r="H25" i="9"/>
  <c r="G25" i="9"/>
  <c r="F25" i="9"/>
  <c r="E25" i="9"/>
  <c r="J24" i="9"/>
  <c r="I24" i="9"/>
  <c r="H24" i="9"/>
  <c r="G24" i="9"/>
  <c r="F24" i="9"/>
  <c r="F36" i="9" s="1"/>
  <c r="E24" i="9"/>
  <c r="D17" i="9"/>
  <c r="C17" i="9"/>
  <c r="B17" i="9"/>
  <c r="J16" i="9"/>
  <c r="I16" i="9"/>
  <c r="H16" i="9"/>
  <c r="G16" i="9"/>
  <c r="F16" i="9"/>
  <c r="E16" i="9"/>
  <c r="J15" i="9"/>
  <c r="I15" i="9"/>
  <c r="H15" i="9"/>
  <c r="G15" i="9"/>
  <c r="F15" i="9"/>
  <c r="E15" i="9"/>
  <c r="J14" i="9"/>
  <c r="I14" i="9"/>
  <c r="H14" i="9"/>
  <c r="G14" i="9"/>
  <c r="F14" i="9"/>
  <c r="E14" i="9"/>
  <c r="J13" i="9"/>
  <c r="I13" i="9"/>
  <c r="H13" i="9"/>
  <c r="G13" i="9"/>
  <c r="F13" i="9"/>
  <c r="E13" i="9"/>
  <c r="J12" i="9"/>
  <c r="I12" i="9"/>
  <c r="H12" i="9"/>
  <c r="G12" i="9"/>
  <c r="F12" i="9"/>
  <c r="E12" i="9"/>
  <c r="J11" i="9"/>
  <c r="I11" i="9"/>
  <c r="H11" i="9"/>
  <c r="G11" i="9"/>
  <c r="F11" i="9"/>
  <c r="E11" i="9"/>
  <c r="J10" i="9"/>
  <c r="I10" i="9"/>
  <c r="H10" i="9"/>
  <c r="G10" i="9"/>
  <c r="F10" i="9"/>
  <c r="E10" i="9"/>
  <c r="J9" i="9"/>
  <c r="I9" i="9"/>
  <c r="H9" i="9"/>
  <c r="G9" i="9"/>
  <c r="F9" i="9"/>
  <c r="E9" i="9"/>
  <c r="J8" i="9"/>
  <c r="I8" i="9"/>
  <c r="H8" i="9"/>
  <c r="G8" i="9"/>
  <c r="F8" i="9"/>
  <c r="E8" i="9"/>
  <c r="J7" i="9"/>
  <c r="I7" i="9"/>
  <c r="H7" i="9"/>
  <c r="G7" i="9"/>
  <c r="F7" i="9"/>
  <c r="E7" i="9"/>
  <c r="K7" i="9" s="1"/>
  <c r="J6" i="9"/>
  <c r="I6" i="9"/>
  <c r="H6" i="9"/>
  <c r="G6" i="9"/>
  <c r="F6" i="9"/>
  <c r="E6" i="9"/>
  <c r="J5" i="9"/>
  <c r="I5" i="9"/>
  <c r="I17" i="9" s="1"/>
  <c r="H5" i="9"/>
  <c r="H17" i="9" s="1"/>
  <c r="G5" i="9"/>
  <c r="F5" i="9"/>
  <c r="E5" i="9"/>
  <c r="C65" i="8"/>
  <c r="B65" i="8"/>
  <c r="C49" i="8"/>
  <c r="B49" i="8"/>
  <c r="L48" i="8"/>
  <c r="I48" i="8"/>
  <c r="K48" i="8" s="1"/>
  <c r="L47" i="8"/>
  <c r="I47" i="8"/>
  <c r="I46" i="8"/>
  <c r="I45" i="8"/>
  <c r="K45" i="8" s="1"/>
  <c r="L44" i="8"/>
  <c r="I44" i="8"/>
  <c r="K44" i="8" s="1"/>
  <c r="L43" i="8"/>
  <c r="I43" i="8"/>
  <c r="I42" i="8"/>
  <c r="I41" i="8"/>
  <c r="K41" i="8" s="1"/>
  <c r="L40" i="8"/>
  <c r="I40" i="8"/>
  <c r="K40" i="8" s="1"/>
  <c r="L39" i="8"/>
  <c r="I39" i="8"/>
  <c r="I38" i="8"/>
  <c r="I37" i="8"/>
  <c r="K37" i="8" s="1"/>
  <c r="E33" i="8"/>
  <c r="D33" i="8"/>
  <c r="C33" i="8"/>
  <c r="B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E17" i="8"/>
  <c r="D17" i="8"/>
  <c r="C17" i="8"/>
  <c r="B17" i="8"/>
  <c r="N16" i="8"/>
  <c r="AL56" i="13" s="1"/>
  <c r="I16" i="8"/>
  <c r="M16" i="8" s="1"/>
  <c r="G16" i="8"/>
  <c r="F16" i="8"/>
  <c r="I15" i="8"/>
  <c r="M15" i="8" s="1"/>
  <c r="G15" i="8"/>
  <c r="F15" i="8"/>
  <c r="M14" i="8"/>
  <c r="I14" i="8"/>
  <c r="L14" i="8" s="1"/>
  <c r="AF55" i="13" s="1"/>
  <c r="G14" i="8"/>
  <c r="F14" i="8"/>
  <c r="I13" i="8"/>
  <c r="N13" i="8" s="1"/>
  <c r="G13" i="8"/>
  <c r="F13" i="8"/>
  <c r="I12" i="8"/>
  <c r="M12" i="8" s="1"/>
  <c r="G12" i="8"/>
  <c r="F12" i="8"/>
  <c r="I11" i="8"/>
  <c r="M11" i="8" s="1"/>
  <c r="G11" i="8"/>
  <c r="F11" i="8"/>
  <c r="I10" i="8"/>
  <c r="M10" i="8" s="1"/>
  <c r="G10" i="8"/>
  <c r="F10" i="8"/>
  <c r="I9" i="8"/>
  <c r="N9" i="8" s="1"/>
  <c r="G9" i="8"/>
  <c r="F9" i="8"/>
  <c r="N8" i="8"/>
  <c r="I8" i="8"/>
  <c r="M8" i="8" s="1"/>
  <c r="G8" i="8"/>
  <c r="F8" i="8"/>
  <c r="N7" i="8"/>
  <c r="K56" i="3" s="1"/>
  <c r="I7" i="8"/>
  <c r="M7" i="8" s="1"/>
  <c r="G7" i="8"/>
  <c r="F7" i="8"/>
  <c r="I6" i="8"/>
  <c r="G6" i="8"/>
  <c r="F6" i="8"/>
  <c r="I5" i="8"/>
  <c r="M5" i="8" s="1"/>
  <c r="G5" i="8"/>
  <c r="F5" i="8"/>
  <c r="C65" i="7"/>
  <c r="B65" i="7"/>
  <c r="N49" i="7"/>
  <c r="N57" i="14" s="1"/>
  <c r="P57" i="14" s="1"/>
  <c r="M49" i="7"/>
  <c r="C49" i="7"/>
  <c r="B49" i="7"/>
  <c r="I48" i="7"/>
  <c r="K48" i="7" s="1"/>
  <c r="I47" i="7"/>
  <c r="I46" i="7"/>
  <c r="I45" i="7"/>
  <c r="K45" i="7" s="1"/>
  <c r="L44" i="7"/>
  <c r="I44" i="7"/>
  <c r="K44" i="7" s="1"/>
  <c r="I43" i="7"/>
  <c r="I42" i="7"/>
  <c r="K41" i="7"/>
  <c r="I41" i="7"/>
  <c r="I40" i="7"/>
  <c r="L40" i="7" s="1"/>
  <c r="I39" i="7"/>
  <c r="I38" i="7"/>
  <c r="I37" i="7"/>
  <c r="K37" i="7" s="1"/>
  <c r="E33" i="7"/>
  <c r="D33" i="7"/>
  <c r="C33" i="7"/>
  <c r="B33" i="7"/>
  <c r="G32" i="7"/>
  <c r="F32" i="7"/>
  <c r="I31" i="7"/>
  <c r="K31" i="7" s="1"/>
  <c r="G31" i="7"/>
  <c r="L15" i="7" s="1"/>
  <c r="AH55" i="3" s="1"/>
  <c r="F31" i="7"/>
  <c r="G30" i="7"/>
  <c r="F30" i="7"/>
  <c r="G29" i="7"/>
  <c r="F29" i="7"/>
  <c r="I28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E17" i="7"/>
  <c r="D17" i="7"/>
  <c r="C17" i="7"/>
  <c r="B17" i="7"/>
  <c r="N16" i="7"/>
  <c r="I16" i="7"/>
  <c r="M16" i="7" s="1"/>
  <c r="G16" i="7"/>
  <c r="F16" i="7"/>
  <c r="N15" i="7"/>
  <c r="B109" i="11" s="1"/>
  <c r="I15" i="7"/>
  <c r="M15" i="7" s="1"/>
  <c r="G15" i="7"/>
  <c r="F15" i="7"/>
  <c r="I14" i="7"/>
  <c r="G14" i="7"/>
  <c r="F14" i="7"/>
  <c r="I13" i="7"/>
  <c r="M13" i="7" s="1"/>
  <c r="G13" i="7"/>
  <c r="F13" i="7"/>
  <c r="N12" i="7"/>
  <c r="Y56" i="3" s="1"/>
  <c r="I12" i="7"/>
  <c r="M12" i="7" s="1"/>
  <c r="G12" i="7"/>
  <c r="F12" i="7"/>
  <c r="N11" i="7"/>
  <c r="L11" i="7"/>
  <c r="I11" i="7"/>
  <c r="M11" i="7" s="1"/>
  <c r="G11" i="7"/>
  <c r="F11" i="7"/>
  <c r="I10" i="7"/>
  <c r="G10" i="7"/>
  <c r="F10" i="7"/>
  <c r="I9" i="7"/>
  <c r="M9" i="7" s="1"/>
  <c r="G9" i="7"/>
  <c r="F9" i="7"/>
  <c r="I8" i="7"/>
  <c r="M8" i="7" s="1"/>
  <c r="G8" i="7"/>
  <c r="F8" i="7"/>
  <c r="L7" i="7"/>
  <c r="J55" i="3" s="1"/>
  <c r="I7" i="7"/>
  <c r="M7" i="7" s="1"/>
  <c r="B29" i="11" s="1"/>
  <c r="G7" i="7"/>
  <c r="F7" i="7"/>
  <c r="I6" i="7"/>
  <c r="M6" i="7" s="1"/>
  <c r="G6" i="7"/>
  <c r="F6" i="7"/>
  <c r="I5" i="7"/>
  <c r="K15" i="7" s="1"/>
  <c r="G5" i="7"/>
  <c r="F5" i="7"/>
  <c r="A67" i="6"/>
  <c r="A66" i="6"/>
  <c r="A65" i="6"/>
  <c r="A64" i="6"/>
  <c r="A63" i="6"/>
  <c r="N15" i="6"/>
  <c r="J15" i="6"/>
  <c r="N14" i="6"/>
  <c r="J14" i="6"/>
  <c r="J13" i="6"/>
  <c r="N4" i="6"/>
  <c r="N13" i="6" s="1"/>
  <c r="Q2" i="6"/>
  <c r="A67" i="5"/>
  <c r="A66" i="5"/>
  <c r="A65" i="5"/>
  <c r="A64" i="5"/>
  <c r="A63" i="5"/>
  <c r="N15" i="5"/>
  <c r="J15" i="5"/>
  <c r="N14" i="5"/>
  <c r="J14" i="5"/>
  <c r="J13" i="5"/>
  <c r="N4" i="5"/>
  <c r="N13" i="5" s="1"/>
  <c r="Q2" i="5"/>
  <c r="O57" i="4"/>
  <c r="O60" i="5" s="1"/>
  <c r="N57" i="4"/>
  <c r="N60" i="5" s="1"/>
  <c r="O56" i="4"/>
  <c r="O59" i="6" s="1"/>
  <c r="O55" i="4"/>
  <c r="O54" i="4"/>
  <c r="O57" i="5" s="1"/>
  <c r="N54" i="4"/>
  <c r="N57" i="5" s="1"/>
  <c r="O50" i="4"/>
  <c r="O53" i="6" s="1"/>
  <c r="N50" i="4"/>
  <c r="N53" i="5" s="1"/>
  <c r="J45" i="4"/>
  <c r="J12" i="4"/>
  <c r="O11" i="4"/>
  <c r="N11" i="4"/>
  <c r="J10" i="4"/>
  <c r="J6" i="4"/>
  <c r="Q2" i="4"/>
  <c r="AL56" i="3"/>
  <c r="V56" i="3"/>
  <c r="N56" i="3"/>
  <c r="AF55" i="3"/>
  <c r="E53" i="3"/>
  <c r="D53" i="3"/>
  <c r="F53" i="3" s="1"/>
  <c r="W30" i="3"/>
  <c r="U26" i="12" s="1"/>
  <c r="AE67" i="2"/>
  <c r="AD67" i="2"/>
  <c r="AC67" i="2"/>
  <c r="AA67" i="2"/>
  <c r="Z67" i="2"/>
  <c r="Y67" i="2"/>
  <c r="X67" i="2"/>
  <c r="W67" i="2"/>
  <c r="V67" i="2"/>
  <c r="U67" i="2"/>
  <c r="T67" i="2"/>
  <c r="O30" i="14" s="1"/>
  <c r="S67" i="2"/>
  <c r="R67" i="2"/>
  <c r="O38" i="14" s="1"/>
  <c r="Q67" i="2"/>
  <c r="P67" i="2"/>
  <c r="O67" i="2"/>
  <c r="N67" i="2"/>
  <c r="M67" i="2"/>
  <c r="L67" i="2"/>
  <c r="K67" i="2"/>
  <c r="J67" i="2"/>
  <c r="I67" i="2"/>
  <c r="O20" i="14" s="1"/>
  <c r="H67" i="2"/>
  <c r="G67" i="2"/>
  <c r="F67" i="2"/>
  <c r="E67" i="2"/>
  <c r="D67" i="2"/>
  <c r="O15" i="14" s="1"/>
  <c r="C67" i="2"/>
  <c r="AE50" i="2"/>
  <c r="AD50" i="2"/>
  <c r="AB50" i="2"/>
  <c r="Z50" i="2"/>
  <c r="X50" i="2"/>
  <c r="T50" i="2"/>
  <c r="AL30" i="13" s="1"/>
  <c r="S50" i="2"/>
  <c r="AL39" i="13" s="1"/>
  <c r="R50" i="2"/>
  <c r="O50" i="2"/>
  <c r="N50" i="2"/>
  <c r="J50" i="2"/>
  <c r="H50" i="2"/>
  <c r="G50" i="2"/>
  <c r="D50" i="2"/>
  <c r="C50" i="2"/>
  <c r="AL14" i="13" s="1"/>
  <c r="A50" i="2"/>
  <c r="AG50" i="2" s="1"/>
  <c r="W49" i="2"/>
  <c r="A49" i="2"/>
  <c r="AG49" i="2" s="1"/>
  <c r="AB48" i="2"/>
  <c r="P48" i="2"/>
  <c r="D48" i="2"/>
  <c r="A48" i="2"/>
  <c r="AD48" i="2" s="1"/>
  <c r="Y47" i="2"/>
  <c r="A47" i="2"/>
  <c r="AC47" i="2" s="1"/>
  <c r="AB46" i="2"/>
  <c r="Z46" i="2"/>
  <c r="R46" i="2"/>
  <c r="O46" i="2"/>
  <c r="G46" i="2"/>
  <c r="D46" i="2"/>
  <c r="A46" i="2"/>
  <c r="AG46" i="2" s="1"/>
  <c r="AE45" i="2"/>
  <c r="AB45" i="2"/>
  <c r="AA45" i="2"/>
  <c r="X45" i="2"/>
  <c r="W45" i="2"/>
  <c r="T45" i="2"/>
  <c r="W30" i="13" s="1"/>
  <c r="S45" i="2"/>
  <c r="O45" i="2"/>
  <c r="L45" i="2"/>
  <c r="W23" i="13" s="1"/>
  <c r="K45" i="2"/>
  <c r="H45" i="2"/>
  <c r="G45" i="2"/>
  <c r="D45" i="2"/>
  <c r="C45" i="2"/>
  <c r="A45" i="2"/>
  <c r="AD45" i="2" s="1"/>
  <c r="AB44" i="2"/>
  <c r="X44" i="2"/>
  <c r="T44" i="2"/>
  <c r="L44" i="2"/>
  <c r="H44" i="2"/>
  <c r="A44" i="2"/>
  <c r="Z44" i="2" s="1"/>
  <c r="AC43" i="2"/>
  <c r="Y43" i="2"/>
  <c r="M43" i="2"/>
  <c r="A43" i="2"/>
  <c r="U43" i="2" s="1"/>
  <c r="AB42" i="2"/>
  <c r="Z42" i="2"/>
  <c r="R42" i="2"/>
  <c r="O42" i="2"/>
  <c r="G42" i="2"/>
  <c r="D42" i="2"/>
  <c r="A42" i="2"/>
  <c r="AG42" i="2" s="1"/>
  <c r="AE41" i="2"/>
  <c r="AB41" i="2"/>
  <c r="AA41" i="2"/>
  <c r="X41" i="2"/>
  <c r="W41" i="2"/>
  <c r="T41" i="2"/>
  <c r="K30" i="13" s="1"/>
  <c r="S41" i="2"/>
  <c r="O41" i="2"/>
  <c r="L41" i="2"/>
  <c r="K23" i="13" s="1"/>
  <c r="K41" i="2"/>
  <c r="H41" i="2"/>
  <c r="G41" i="2"/>
  <c r="D41" i="2"/>
  <c r="C41" i="2"/>
  <c r="A41" i="2"/>
  <c r="AG41" i="2" s="1"/>
  <c r="AB40" i="2"/>
  <c r="X40" i="2"/>
  <c r="T40" i="2"/>
  <c r="L40" i="2"/>
  <c r="H40" i="2"/>
  <c r="A40" i="2"/>
  <c r="AD40" i="2" s="1"/>
  <c r="AC39" i="2"/>
  <c r="Y39" i="2"/>
  <c r="M39" i="2"/>
  <c r="A39" i="2"/>
  <c r="U39" i="2" s="1"/>
  <c r="AG34" i="2"/>
  <c r="AF34" i="2"/>
  <c r="AE34" i="2"/>
  <c r="AD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E17" i="2"/>
  <c r="AD17" i="2"/>
  <c r="AC17" i="2"/>
  <c r="AA17" i="2"/>
  <c r="Z17" i="2"/>
  <c r="Y17" i="2"/>
  <c r="X17" i="2"/>
  <c r="W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E67" i="1"/>
  <c r="N36" i="14" s="1"/>
  <c r="AD67" i="1"/>
  <c r="AC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N21" i="14" s="1"/>
  <c r="I67" i="1"/>
  <c r="H67" i="1"/>
  <c r="G67" i="1"/>
  <c r="F67" i="1"/>
  <c r="E67" i="1"/>
  <c r="D67" i="1"/>
  <c r="C67" i="1"/>
  <c r="Y50" i="1"/>
  <c r="A50" i="1"/>
  <c r="U50" i="1" s="1"/>
  <c r="AE49" i="1"/>
  <c r="AD49" i="1"/>
  <c r="AB49" i="1"/>
  <c r="AA49" i="1"/>
  <c r="X49" i="1"/>
  <c r="W49" i="1"/>
  <c r="T49" i="1"/>
  <c r="AH30" i="13" s="1"/>
  <c r="S49" i="1"/>
  <c r="AH39" i="13" s="1"/>
  <c r="R49" i="1"/>
  <c r="P49" i="1"/>
  <c r="O49" i="1"/>
  <c r="N49" i="1"/>
  <c r="L49" i="1"/>
  <c r="AH23" i="13" s="1"/>
  <c r="J49" i="1"/>
  <c r="H49" i="1"/>
  <c r="G49" i="1"/>
  <c r="F49" i="1"/>
  <c r="D49" i="1"/>
  <c r="C49" i="1"/>
  <c r="AH14" i="13" s="1"/>
  <c r="B49" i="1"/>
  <c r="A49" i="1"/>
  <c r="AG49" i="1" s="1"/>
  <c r="AE48" i="1"/>
  <c r="AB48" i="1"/>
  <c r="AA48" i="1"/>
  <c r="W48" i="1"/>
  <c r="T48" i="1"/>
  <c r="AE30" i="13" s="1"/>
  <c r="O48" i="1"/>
  <c r="L48" i="1"/>
  <c r="AE23" i="13" s="1"/>
  <c r="K48" i="1"/>
  <c r="G48" i="1"/>
  <c r="D48" i="1"/>
  <c r="A48" i="1"/>
  <c r="AD48" i="1" s="1"/>
  <c r="AB47" i="1"/>
  <c r="X47" i="1"/>
  <c r="L47" i="1"/>
  <c r="A47" i="1"/>
  <c r="F47" i="1" s="1"/>
  <c r="AC46" i="1"/>
  <c r="Y46" i="1"/>
  <c r="A46" i="1"/>
  <c r="U46" i="1" s="1"/>
  <c r="AE45" i="1"/>
  <c r="AD45" i="1"/>
  <c r="AB45" i="1"/>
  <c r="AA45" i="1"/>
  <c r="Z45" i="1"/>
  <c r="X45" i="1"/>
  <c r="W45" i="1"/>
  <c r="T45" i="1"/>
  <c r="V30" i="13" s="1"/>
  <c r="S45" i="1"/>
  <c r="V39" i="13" s="1"/>
  <c r="R45" i="1"/>
  <c r="P45" i="1"/>
  <c r="O45" i="1"/>
  <c r="N45" i="1"/>
  <c r="L45" i="1"/>
  <c r="V23" i="13" s="1"/>
  <c r="J45" i="1"/>
  <c r="H45" i="1"/>
  <c r="G45" i="1"/>
  <c r="F45" i="1"/>
  <c r="D45" i="1"/>
  <c r="C45" i="1"/>
  <c r="V14" i="13" s="1"/>
  <c r="B45" i="1"/>
  <c r="A45" i="1"/>
  <c r="AG45" i="1" s="1"/>
  <c r="AE44" i="1"/>
  <c r="AB44" i="1"/>
  <c r="AA44" i="1"/>
  <c r="W44" i="1"/>
  <c r="T44" i="1"/>
  <c r="S30" i="3" s="1"/>
  <c r="O44" i="1"/>
  <c r="L44" i="1"/>
  <c r="S23" i="3" s="1"/>
  <c r="K44" i="1"/>
  <c r="G44" i="1"/>
  <c r="D44" i="1"/>
  <c r="A44" i="1"/>
  <c r="AG44" i="1" s="1"/>
  <c r="AF43" i="1"/>
  <c r="AC43" i="1"/>
  <c r="AB43" i="1"/>
  <c r="T43" i="1"/>
  <c r="L43" i="1"/>
  <c r="H43" i="1"/>
  <c r="E43" i="1"/>
  <c r="A43" i="1"/>
  <c r="X43" i="1" s="1"/>
  <c r="N42" i="1"/>
  <c r="M42" i="1"/>
  <c r="A42" i="1"/>
  <c r="Z42" i="1" s="1"/>
  <c r="AE41" i="1"/>
  <c r="AD41" i="1"/>
  <c r="AB41" i="1"/>
  <c r="AA41" i="1"/>
  <c r="Z41" i="1"/>
  <c r="X41" i="1"/>
  <c r="W41" i="1"/>
  <c r="T41" i="1"/>
  <c r="J30" i="13" s="1"/>
  <c r="S41" i="1"/>
  <c r="R41" i="1"/>
  <c r="P41" i="1"/>
  <c r="O41" i="1"/>
  <c r="N41" i="1"/>
  <c r="L41" i="1"/>
  <c r="J23" i="13" s="1"/>
  <c r="J41" i="1"/>
  <c r="H41" i="1"/>
  <c r="G41" i="1"/>
  <c r="F41" i="1"/>
  <c r="D41" i="1"/>
  <c r="C41" i="1"/>
  <c r="B41" i="1"/>
  <c r="A41" i="1"/>
  <c r="AG41" i="1" s="1"/>
  <c r="AE40" i="1"/>
  <c r="AB40" i="1"/>
  <c r="AA40" i="1"/>
  <c r="W40" i="1"/>
  <c r="T40" i="1"/>
  <c r="O40" i="1"/>
  <c r="L40" i="1"/>
  <c r="K40" i="1"/>
  <c r="G40" i="1"/>
  <c r="D40" i="1"/>
  <c r="A40" i="1"/>
  <c r="AG40" i="1" s="1"/>
  <c r="A39" i="1"/>
  <c r="AG34" i="1"/>
  <c r="AF34" i="1"/>
  <c r="AE34" i="1"/>
  <c r="AD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AE17" i="1"/>
  <c r="AD17" i="1"/>
  <c r="AC17" i="1"/>
  <c r="AA17" i="1"/>
  <c r="Z17" i="1"/>
  <c r="Y17" i="1"/>
  <c r="X17" i="1"/>
  <c r="W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V42" i="1" l="1"/>
  <c r="M43" i="1"/>
  <c r="D47" i="1"/>
  <c r="C40" i="1"/>
  <c r="S40" i="1"/>
  <c r="G39" i="13" s="1"/>
  <c r="K41" i="1"/>
  <c r="V41" i="1"/>
  <c r="AF41" i="1"/>
  <c r="AC42" i="1"/>
  <c r="P43" i="1"/>
  <c r="C44" i="1"/>
  <c r="S44" i="1"/>
  <c r="S39" i="13" s="1"/>
  <c r="K45" i="1"/>
  <c r="V22" i="13" s="1"/>
  <c r="X22" i="13" s="1"/>
  <c r="V45" i="1"/>
  <c r="AF45" i="1"/>
  <c r="H47" i="1"/>
  <c r="C48" i="1"/>
  <c r="S48" i="1"/>
  <c r="K49" i="1"/>
  <c r="AH22" i="13" s="1"/>
  <c r="V49" i="1"/>
  <c r="AF49" i="1"/>
  <c r="AH42" i="13" s="1"/>
  <c r="D40" i="2"/>
  <c r="P41" i="2"/>
  <c r="AF41" i="2"/>
  <c r="J42" i="2"/>
  <c r="T42" i="2"/>
  <c r="N30" i="13" s="1"/>
  <c r="AE42" i="2"/>
  <c r="D44" i="2"/>
  <c r="P45" i="2"/>
  <c r="W28" i="3" s="1"/>
  <c r="U24" i="12" s="1"/>
  <c r="AF45" i="2"/>
  <c r="J46" i="2"/>
  <c r="T46" i="2"/>
  <c r="Z30" i="13" s="1"/>
  <c r="AE46" i="2"/>
  <c r="L48" i="2"/>
  <c r="G49" i="2"/>
  <c r="B50" i="2"/>
  <c r="L50" i="2"/>
  <c r="AL23" i="13" s="1"/>
  <c r="W50" i="2"/>
  <c r="W23" i="3"/>
  <c r="U19" i="12" s="1"/>
  <c r="F33" i="7"/>
  <c r="N5" i="8"/>
  <c r="E56" i="3" s="1"/>
  <c r="L7" i="8"/>
  <c r="K16" i="8"/>
  <c r="I24" i="8"/>
  <c r="J24" i="8" s="1"/>
  <c r="K8" i="9"/>
  <c r="K9" i="9"/>
  <c r="K12" i="9"/>
  <c r="I17" i="10"/>
  <c r="K16" i="10"/>
  <c r="F36" i="10"/>
  <c r="L17" i="11"/>
  <c r="J21" i="11"/>
  <c r="L21" i="11" s="1"/>
  <c r="G36" i="11"/>
  <c r="G67" i="11"/>
  <c r="G79" i="11"/>
  <c r="G97" i="11"/>
  <c r="G107" i="11"/>
  <c r="G109" i="11"/>
  <c r="AD42" i="1"/>
  <c r="K42" i="2"/>
  <c r="V42" i="2"/>
  <c r="AF42" i="2"/>
  <c r="K46" i="2"/>
  <c r="V46" i="2"/>
  <c r="AF46" i="2"/>
  <c r="K49" i="2"/>
  <c r="O20" i="4"/>
  <c r="AA56" i="3"/>
  <c r="F33" i="8"/>
  <c r="I31" i="8"/>
  <c r="J11" i="11"/>
  <c r="E42" i="1"/>
  <c r="U43" i="1"/>
  <c r="I50" i="1"/>
  <c r="B42" i="2"/>
  <c r="L42" i="2"/>
  <c r="N23" i="13" s="1"/>
  <c r="W42" i="2"/>
  <c r="N42" i="3" s="1"/>
  <c r="B46" i="2"/>
  <c r="L46" i="2"/>
  <c r="Z23" i="13" s="1"/>
  <c r="W46" i="2"/>
  <c r="T48" i="2"/>
  <c r="O49" i="2"/>
  <c r="O24" i="14"/>
  <c r="AH30" i="3"/>
  <c r="AF26" i="12" s="1"/>
  <c r="J56" i="3"/>
  <c r="L56" i="3" s="1"/>
  <c r="K40" i="7"/>
  <c r="M9" i="8"/>
  <c r="Q56" i="3" s="1"/>
  <c r="L11" i="8"/>
  <c r="K15" i="8"/>
  <c r="I28" i="8"/>
  <c r="K16" i="9"/>
  <c r="K7" i="10"/>
  <c r="K11" i="10"/>
  <c r="K15" i="10"/>
  <c r="J101" i="11"/>
  <c r="I46" i="1"/>
  <c r="P47" i="1"/>
  <c r="H40" i="1"/>
  <c r="X40" i="1"/>
  <c r="F42" i="1"/>
  <c r="D43" i="1"/>
  <c r="H44" i="1"/>
  <c r="S43" i="3" s="1"/>
  <c r="X44" i="1"/>
  <c r="M46" i="1"/>
  <c r="T47" i="1"/>
  <c r="H48" i="1"/>
  <c r="X48" i="1"/>
  <c r="Z49" i="1"/>
  <c r="AH28" i="13" s="1"/>
  <c r="M50" i="1"/>
  <c r="AK24" i="13" s="1"/>
  <c r="I39" i="2"/>
  <c r="P40" i="2"/>
  <c r="C42" i="2"/>
  <c r="N14" i="13" s="1"/>
  <c r="N42" i="2"/>
  <c r="X42" i="2"/>
  <c r="I43" i="2"/>
  <c r="Q20" i="13" s="1"/>
  <c r="P44" i="2"/>
  <c r="T28" i="3" s="1"/>
  <c r="R24" i="12" s="1"/>
  <c r="C46" i="2"/>
  <c r="Z14" i="13" s="1"/>
  <c r="N46" i="2"/>
  <c r="X46" i="2"/>
  <c r="I47" i="2"/>
  <c r="X48" i="2"/>
  <c r="S49" i="2"/>
  <c r="F50" i="2"/>
  <c r="AL42" i="13" s="1"/>
  <c r="P50" i="2"/>
  <c r="AL28" i="13" s="1"/>
  <c r="AA50" i="2"/>
  <c r="N11" i="8"/>
  <c r="W56" i="3" s="1"/>
  <c r="L15" i="8"/>
  <c r="K24" i="9"/>
  <c r="I36" i="9"/>
  <c r="N28" i="14" s="1"/>
  <c r="P28" i="14" s="1"/>
  <c r="K28" i="9"/>
  <c r="K32" i="9"/>
  <c r="K26" i="10"/>
  <c r="K27" i="10"/>
  <c r="K30" i="10"/>
  <c r="K31" i="10"/>
  <c r="K34" i="10"/>
  <c r="K35" i="10"/>
  <c r="K41" i="11"/>
  <c r="K71" i="11"/>
  <c r="K101" i="11"/>
  <c r="P54" i="14"/>
  <c r="I23" i="7"/>
  <c r="F17" i="8"/>
  <c r="N15" i="8"/>
  <c r="AI56" i="3" s="1"/>
  <c r="I23" i="8"/>
  <c r="K11" i="9"/>
  <c r="K15" i="9"/>
  <c r="H36" i="9"/>
  <c r="E17" i="10"/>
  <c r="G17" i="10"/>
  <c r="K9" i="10"/>
  <c r="K10" i="10"/>
  <c r="K13" i="10"/>
  <c r="K14" i="10"/>
  <c r="J36" i="10"/>
  <c r="O29" i="4" s="1"/>
  <c r="L16" i="11"/>
  <c r="K31" i="11"/>
  <c r="G37" i="11"/>
  <c r="F61" i="11"/>
  <c r="G68" i="11"/>
  <c r="G76" i="11"/>
  <c r="G106" i="11"/>
  <c r="AC50" i="1"/>
  <c r="AK50" i="3" s="1"/>
  <c r="F42" i="2"/>
  <c r="P42" i="2"/>
  <c r="AA42" i="2"/>
  <c r="F46" i="2"/>
  <c r="P46" i="2"/>
  <c r="Z28" i="3" s="1"/>
  <c r="X24" i="12" s="1"/>
  <c r="AA46" i="2"/>
  <c r="AF48" i="2"/>
  <c r="AA49" i="2"/>
  <c r="K8" i="8"/>
  <c r="I32" i="8"/>
  <c r="K26" i="9"/>
  <c r="K27" i="9"/>
  <c r="K30" i="9"/>
  <c r="K31" i="9"/>
  <c r="K34" i="9"/>
  <c r="K35" i="9"/>
  <c r="F17" i="10"/>
  <c r="K25" i="10"/>
  <c r="K29" i="10"/>
  <c r="K33" i="10"/>
  <c r="L6" i="11"/>
  <c r="K21" i="11"/>
  <c r="G27" i="11"/>
  <c r="L47" i="11"/>
  <c r="J51" i="11"/>
  <c r="J71" i="11"/>
  <c r="L91" i="11"/>
  <c r="G88" i="11"/>
  <c r="J121" i="11"/>
  <c r="L121" i="11" s="1"/>
  <c r="G118" i="11"/>
  <c r="U42" i="1"/>
  <c r="M31" i="13" s="1"/>
  <c r="AF47" i="1"/>
  <c r="AE49" i="2"/>
  <c r="X56" i="3"/>
  <c r="E17" i="9"/>
  <c r="K10" i="9"/>
  <c r="K13" i="9"/>
  <c r="K14" i="9"/>
  <c r="J36" i="9"/>
  <c r="N29" i="14" s="1"/>
  <c r="K8" i="10"/>
  <c r="K12" i="10"/>
  <c r="K11" i="11"/>
  <c r="J41" i="11"/>
  <c r="L81" i="11"/>
  <c r="G78" i="11"/>
  <c r="L106" i="11"/>
  <c r="P40" i="1"/>
  <c r="AF40" i="1"/>
  <c r="P44" i="1"/>
  <c r="AF44" i="1"/>
  <c r="P48" i="1"/>
  <c r="AF48" i="1"/>
  <c r="AF40" i="2"/>
  <c r="H42" i="2"/>
  <c r="N43" i="3" s="1"/>
  <c r="S42" i="2"/>
  <c r="N39" i="13" s="1"/>
  <c r="AD42" i="2"/>
  <c r="AF44" i="2"/>
  <c r="H46" i="2"/>
  <c r="S46" i="2"/>
  <c r="AD46" i="2"/>
  <c r="H48" i="2"/>
  <c r="C49" i="2"/>
  <c r="AI14" i="3" s="1"/>
  <c r="K50" i="2"/>
  <c r="V50" i="2"/>
  <c r="AF50" i="2"/>
  <c r="K23" i="3"/>
  <c r="I19" i="12" s="1"/>
  <c r="O60" i="6"/>
  <c r="K7" i="8"/>
  <c r="N12" i="8"/>
  <c r="Z56" i="3" s="1"/>
  <c r="G33" i="8"/>
  <c r="I27" i="8"/>
  <c r="K27" i="8" s="1"/>
  <c r="K25" i="9"/>
  <c r="K29" i="9"/>
  <c r="K33" i="9"/>
  <c r="H17" i="10"/>
  <c r="J31" i="11"/>
  <c r="O59" i="5"/>
  <c r="O53" i="5"/>
  <c r="X23" i="13"/>
  <c r="AH56" i="3"/>
  <c r="AK56" i="3"/>
  <c r="AM56" i="3" s="1"/>
  <c r="L48" i="7"/>
  <c r="E61" i="11"/>
  <c r="J111" i="11"/>
  <c r="L111" i="11" s="1"/>
  <c r="K8" i="7"/>
  <c r="M54" i="3" s="1"/>
  <c r="X30" i="13"/>
  <c r="N8" i="7"/>
  <c r="M56" i="3" s="1"/>
  <c r="O56" i="3" s="1"/>
  <c r="P56" i="3"/>
  <c r="L10" i="7"/>
  <c r="S55" i="3" s="1"/>
  <c r="I27" i="7"/>
  <c r="K27" i="7" s="1"/>
  <c r="L76" i="11"/>
  <c r="L116" i="11"/>
  <c r="V43" i="13"/>
  <c r="AH43" i="13"/>
  <c r="I24" i="7"/>
  <c r="K24" i="7" s="1"/>
  <c r="I32" i="7"/>
  <c r="J28" i="3"/>
  <c r="H24" i="12" s="1"/>
  <c r="AH22" i="3"/>
  <c r="AF18" i="12" s="1"/>
  <c r="AE23" i="3"/>
  <c r="AC19" i="12" s="1"/>
  <c r="Y31" i="13"/>
  <c r="Y31" i="3"/>
  <c r="E31" i="13"/>
  <c r="E31" i="3"/>
  <c r="Q31" i="13"/>
  <c r="Q31" i="3"/>
  <c r="O27" i="12" s="1"/>
  <c r="AC50" i="13"/>
  <c r="AC50" i="3"/>
  <c r="AA43" i="12" s="1"/>
  <c r="AK31" i="13"/>
  <c r="AK31" i="3"/>
  <c r="J35" i="13"/>
  <c r="J35" i="3"/>
  <c r="B42" i="1"/>
  <c r="J42" i="1"/>
  <c r="R42" i="1"/>
  <c r="AD43" i="1"/>
  <c r="Z43" i="1"/>
  <c r="V43" i="1"/>
  <c r="R43" i="1"/>
  <c r="N43" i="1"/>
  <c r="J43" i="1"/>
  <c r="F43" i="1"/>
  <c r="B43" i="1"/>
  <c r="AE43" i="1"/>
  <c r="AA43" i="1"/>
  <c r="W43" i="1"/>
  <c r="S43" i="1"/>
  <c r="O43" i="1"/>
  <c r="K43" i="1"/>
  <c r="G43" i="1"/>
  <c r="C43" i="1"/>
  <c r="I43" i="1"/>
  <c r="Q43" i="1"/>
  <c r="Y43" i="1"/>
  <c r="AG43" i="1"/>
  <c r="E50" i="11" s="1"/>
  <c r="E51" i="11" s="1"/>
  <c r="S27" i="13"/>
  <c r="S27" i="3"/>
  <c r="V26" i="13"/>
  <c r="V26" i="3"/>
  <c r="V35" i="13"/>
  <c r="V35" i="3"/>
  <c r="E46" i="1"/>
  <c r="AE27" i="13"/>
  <c r="AE27" i="3"/>
  <c r="AH26" i="13"/>
  <c r="AH26" i="3"/>
  <c r="AH35" i="13"/>
  <c r="AH35" i="3"/>
  <c r="E50" i="1"/>
  <c r="E39" i="2"/>
  <c r="H35" i="13"/>
  <c r="H35" i="3"/>
  <c r="K27" i="13"/>
  <c r="K27" i="3"/>
  <c r="I23" i="12" s="1"/>
  <c r="K36" i="13"/>
  <c r="K36" i="3"/>
  <c r="I35" i="12" s="1"/>
  <c r="N35" i="13"/>
  <c r="N35" i="3"/>
  <c r="E43" i="2"/>
  <c r="T28" i="13"/>
  <c r="W27" i="13"/>
  <c r="W27" i="3"/>
  <c r="U23" i="12" s="1"/>
  <c r="W36" i="13"/>
  <c r="W36" i="3"/>
  <c r="U35" i="12" s="1"/>
  <c r="Z35" i="13"/>
  <c r="Z35" i="3"/>
  <c r="E47" i="2"/>
  <c r="U47" i="2"/>
  <c r="AF35" i="13"/>
  <c r="AF35" i="3"/>
  <c r="AI22" i="13"/>
  <c r="AI22" i="3"/>
  <c r="AG18" i="12" s="1"/>
  <c r="AL35" i="13"/>
  <c r="AL35" i="3"/>
  <c r="AD39" i="1"/>
  <c r="Z39" i="1"/>
  <c r="V39" i="1"/>
  <c r="R39" i="1"/>
  <c r="N39" i="1"/>
  <c r="J39" i="1"/>
  <c r="F39" i="1"/>
  <c r="B39" i="1"/>
  <c r="AE39" i="1"/>
  <c r="AA39" i="1"/>
  <c r="W39" i="1"/>
  <c r="S39" i="1"/>
  <c r="O39" i="1"/>
  <c r="K39" i="1"/>
  <c r="G39" i="1"/>
  <c r="C39" i="1"/>
  <c r="I39" i="1"/>
  <c r="Q39" i="1"/>
  <c r="Y39" i="1"/>
  <c r="AG39" i="1"/>
  <c r="G27" i="13"/>
  <c r="G27" i="3"/>
  <c r="J39" i="13"/>
  <c r="J39" i="3"/>
  <c r="L39" i="1"/>
  <c r="T39" i="1"/>
  <c r="AB39" i="1"/>
  <c r="J21" i="13"/>
  <c r="J21" i="3"/>
  <c r="P23" i="13"/>
  <c r="P23" i="3"/>
  <c r="V21" i="13"/>
  <c r="V21" i="3"/>
  <c r="Y20" i="13"/>
  <c r="Y20" i="3"/>
  <c r="AB30" i="13"/>
  <c r="AB30" i="3"/>
  <c r="AE35" i="13"/>
  <c r="AE35" i="3"/>
  <c r="AH21" i="13"/>
  <c r="AH21" i="3"/>
  <c r="AK20" i="13"/>
  <c r="AK20" i="3"/>
  <c r="E20" i="13"/>
  <c r="E20" i="3"/>
  <c r="H30" i="13"/>
  <c r="H30" i="3"/>
  <c r="F26" i="12" s="1"/>
  <c r="N21" i="13"/>
  <c r="N21" i="3"/>
  <c r="L17" i="12" s="1"/>
  <c r="T30" i="13"/>
  <c r="T30" i="3"/>
  <c r="R26" i="12" s="1"/>
  <c r="W35" i="13"/>
  <c r="W34" i="13" s="1"/>
  <c r="W35" i="3"/>
  <c r="Z21" i="13"/>
  <c r="Z21" i="3"/>
  <c r="X17" i="12" s="1"/>
  <c r="AC20" i="13"/>
  <c r="AC20" i="3"/>
  <c r="AF30" i="13"/>
  <c r="AG30" i="13" s="1"/>
  <c r="AF30" i="3"/>
  <c r="AD26" i="12" s="1"/>
  <c r="AI27" i="13"/>
  <c r="AI27" i="3"/>
  <c r="AG23" i="12" s="1"/>
  <c r="AI36" i="13"/>
  <c r="AI36" i="3"/>
  <c r="AG35" i="12" s="1"/>
  <c r="AL21" i="13"/>
  <c r="AL21" i="3"/>
  <c r="AJ17" i="12" s="1"/>
  <c r="J14" i="13"/>
  <c r="J14" i="3"/>
  <c r="J26" i="13"/>
  <c r="J26" i="3"/>
  <c r="D39" i="1"/>
  <c r="E20" i="11"/>
  <c r="J27" i="13"/>
  <c r="J27" i="3"/>
  <c r="M24" i="13"/>
  <c r="M24" i="3"/>
  <c r="M50" i="13"/>
  <c r="M50" i="3"/>
  <c r="P30" i="13"/>
  <c r="P30" i="3"/>
  <c r="E39" i="1"/>
  <c r="M39" i="1"/>
  <c r="U39" i="1"/>
  <c r="AC39" i="1"/>
  <c r="G14" i="13"/>
  <c r="G14" i="3"/>
  <c r="G22" i="13"/>
  <c r="G22" i="3"/>
  <c r="J42" i="13"/>
  <c r="J42" i="3"/>
  <c r="M26" i="13"/>
  <c r="M26" i="3"/>
  <c r="M35" i="13"/>
  <c r="M35" i="3"/>
  <c r="P24" i="13"/>
  <c r="P24" i="3"/>
  <c r="P31" i="13"/>
  <c r="R31" i="13" s="1"/>
  <c r="P31" i="3"/>
  <c r="P50" i="13"/>
  <c r="P50" i="3"/>
  <c r="S14" i="13"/>
  <c r="S14" i="3"/>
  <c r="S22" i="13"/>
  <c r="S22" i="3"/>
  <c r="V42" i="13"/>
  <c r="V42" i="3"/>
  <c r="V28" i="3"/>
  <c r="Y24" i="13"/>
  <c r="Y24" i="3"/>
  <c r="Y50" i="13"/>
  <c r="Y50" i="3"/>
  <c r="AE14" i="13"/>
  <c r="AE14" i="3"/>
  <c r="AE22" i="13"/>
  <c r="AE22" i="3"/>
  <c r="AE39" i="13"/>
  <c r="AE39" i="3"/>
  <c r="AK50" i="13"/>
  <c r="E24" i="13"/>
  <c r="E24" i="3"/>
  <c r="E50" i="13"/>
  <c r="E50" i="3"/>
  <c r="C43" i="12" s="1"/>
  <c r="K14" i="13"/>
  <c r="K14" i="3"/>
  <c r="K22" i="13"/>
  <c r="K22" i="3"/>
  <c r="I18" i="12" s="1"/>
  <c r="K39" i="13"/>
  <c r="K39" i="3"/>
  <c r="I38" i="12" s="1"/>
  <c r="K43" i="13"/>
  <c r="K43" i="3"/>
  <c r="N28" i="3"/>
  <c r="L24" i="12" s="1"/>
  <c r="Q24" i="13"/>
  <c r="Q24" i="3"/>
  <c r="O20" i="12" s="1"/>
  <c r="Q50" i="13"/>
  <c r="Q50" i="3"/>
  <c r="O43" i="12" s="1"/>
  <c r="W14" i="13"/>
  <c r="X14" i="13" s="1"/>
  <c r="W14" i="3"/>
  <c r="W22" i="13"/>
  <c r="W22" i="3"/>
  <c r="U18" i="12" s="1"/>
  <c r="W39" i="13"/>
  <c r="X39" i="13" s="1"/>
  <c r="W39" i="3"/>
  <c r="U38" i="12" s="1"/>
  <c r="W43" i="13"/>
  <c r="W43" i="3"/>
  <c r="Z42" i="13"/>
  <c r="Z42" i="3"/>
  <c r="M47" i="2"/>
  <c r="AI14" i="13"/>
  <c r="AJ14" i="13" s="1"/>
  <c r="AI39" i="13"/>
  <c r="AI39" i="3"/>
  <c r="AG38" i="12" s="1"/>
  <c r="J22" i="13"/>
  <c r="J22" i="3"/>
  <c r="J43" i="13"/>
  <c r="L43" i="13" s="1"/>
  <c r="J43" i="3"/>
  <c r="H39" i="1"/>
  <c r="P39" i="1"/>
  <c r="X39" i="1"/>
  <c r="AF39" i="1"/>
  <c r="G23" i="13"/>
  <c r="G23" i="3"/>
  <c r="G30" i="13"/>
  <c r="I30" i="13" s="1"/>
  <c r="G30" i="3"/>
  <c r="J38" i="13"/>
  <c r="J38" i="3"/>
  <c r="AE42" i="1"/>
  <c r="AA42" i="1"/>
  <c r="W42" i="1"/>
  <c r="S42" i="1"/>
  <c r="O42" i="1"/>
  <c r="K42" i="1"/>
  <c r="G42" i="1"/>
  <c r="C42" i="1"/>
  <c r="AF42" i="1"/>
  <c r="AB42" i="1"/>
  <c r="X42" i="1"/>
  <c r="T42" i="1"/>
  <c r="P42" i="1"/>
  <c r="L42" i="1"/>
  <c r="H42" i="1"/>
  <c r="D42" i="1"/>
  <c r="I42" i="1"/>
  <c r="Q42" i="1"/>
  <c r="Y42" i="1"/>
  <c r="AG42" i="1"/>
  <c r="P28" i="13"/>
  <c r="P28" i="3"/>
  <c r="Q19" i="12"/>
  <c r="Q26" i="12"/>
  <c r="S26" i="12" s="1"/>
  <c r="U30" i="3"/>
  <c r="V38" i="13"/>
  <c r="V38" i="3"/>
  <c r="S46" i="1"/>
  <c r="G46" i="1"/>
  <c r="Z46" i="1"/>
  <c r="R46" i="1"/>
  <c r="J46" i="1"/>
  <c r="B46" i="1"/>
  <c r="AD46" i="1"/>
  <c r="V46" i="1"/>
  <c r="N46" i="1"/>
  <c r="F46" i="1"/>
  <c r="AF46" i="1"/>
  <c r="AB46" i="1"/>
  <c r="X46" i="1"/>
  <c r="T46" i="1"/>
  <c r="P46" i="1"/>
  <c r="L46" i="1"/>
  <c r="H46" i="1"/>
  <c r="D46" i="1"/>
  <c r="AE46" i="1"/>
  <c r="AA46" i="1"/>
  <c r="W46" i="1"/>
  <c r="O46" i="1"/>
  <c r="K46" i="1"/>
  <c r="C46" i="1"/>
  <c r="Q46" i="1"/>
  <c r="AG46" i="1"/>
  <c r="AB23" i="13"/>
  <c r="AB23" i="3"/>
  <c r="AH38" i="13"/>
  <c r="AH38" i="3"/>
  <c r="AA50" i="1"/>
  <c r="S50" i="1"/>
  <c r="K50" i="1"/>
  <c r="C50" i="1"/>
  <c r="AD50" i="1"/>
  <c r="V50" i="1"/>
  <c r="N50" i="1"/>
  <c r="J50" i="1"/>
  <c r="Z50" i="1"/>
  <c r="R50" i="1"/>
  <c r="F50" i="1"/>
  <c r="B50" i="1"/>
  <c r="AF50" i="1"/>
  <c r="AB50" i="1"/>
  <c r="X50" i="1"/>
  <c r="T50" i="1"/>
  <c r="P50" i="1"/>
  <c r="L50" i="1"/>
  <c r="D23" i="14" s="1"/>
  <c r="H50" i="1"/>
  <c r="D50" i="1"/>
  <c r="AE50" i="1"/>
  <c r="W50" i="1"/>
  <c r="O50" i="1"/>
  <c r="G50" i="1"/>
  <c r="Q50" i="1"/>
  <c r="AG50" i="1"/>
  <c r="N14" i="14"/>
  <c r="N14" i="4"/>
  <c r="N22" i="14"/>
  <c r="N22" i="4"/>
  <c r="N27" i="14"/>
  <c r="N27" i="4"/>
  <c r="N39" i="14"/>
  <c r="N39" i="4"/>
  <c r="N42" i="14"/>
  <c r="N42" i="4"/>
  <c r="N43" i="14"/>
  <c r="N43" i="4"/>
  <c r="AA39" i="2"/>
  <c r="S39" i="2"/>
  <c r="G39" i="2"/>
  <c r="AD39" i="2"/>
  <c r="Z39" i="2"/>
  <c r="V39" i="2"/>
  <c r="R39" i="2"/>
  <c r="J39" i="2"/>
  <c r="F39" i="2"/>
  <c r="N39" i="2"/>
  <c r="E26" i="13" s="1"/>
  <c r="B39" i="2"/>
  <c r="AF39" i="2"/>
  <c r="AB39" i="2"/>
  <c r="X39" i="2"/>
  <c r="T39" i="2"/>
  <c r="P39" i="2"/>
  <c r="L39" i="2"/>
  <c r="H39" i="2"/>
  <c r="D39" i="2"/>
  <c r="AE39" i="2"/>
  <c r="W39" i="2"/>
  <c r="O39" i="2"/>
  <c r="K39" i="2"/>
  <c r="C39" i="2"/>
  <c r="Q39" i="2"/>
  <c r="AG39" i="2"/>
  <c r="H23" i="13"/>
  <c r="H23" i="3"/>
  <c r="F19" i="12" s="1"/>
  <c r="N38" i="13"/>
  <c r="N37" i="13" s="1"/>
  <c r="N38" i="3"/>
  <c r="AE43" i="2"/>
  <c r="S43" i="2"/>
  <c r="G43" i="2"/>
  <c r="AD43" i="2"/>
  <c r="Z43" i="2"/>
  <c r="V43" i="2"/>
  <c r="R43" i="2"/>
  <c r="N43" i="2"/>
  <c r="Q26" i="13" s="1"/>
  <c r="J43" i="2"/>
  <c r="F43" i="2"/>
  <c r="B43" i="2"/>
  <c r="AF43" i="2"/>
  <c r="AB43" i="2"/>
  <c r="X43" i="2"/>
  <c r="T43" i="2"/>
  <c r="P43" i="2"/>
  <c r="L43" i="2"/>
  <c r="H43" i="2"/>
  <c r="D43" i="2"/>
  <c r="AA43" i="2"/>
  <c r="W43" i="2"/>
  <c r="O43" i="2"/>
  <c r="K43" i="2"/>
  <c r="C43" i="2"/>
  <c r="Q43" i="2"/>
  <c r="AG43" i="2"/>
  <c r="T23" i="13"/>
  <c r="T23" i="3"/>
  <c r="R19" i="12" s="1"/>
  <c r="Z38" i="13"/>
  <c r="Z38" i="3"/>
  <c r="AE47" i="2"/>
  <c r="S47" i="2"/>
  <c r="K47" i="2"/>
  <c r="C47" i="2"/>
  <c r="AD47" i="2"/>
  <c r="Z47" i="2"/>
  <c r="V47" i="2"/>
  <c r="R47" i="2"/>
  <c r="N47" i="2"/>
  <c r="J47" i="2"/>
  <c r="F47" i="2"/>
  <c r="B47" i="2"/>
  <c r="AF47" i="2"/>
  <c r="AB47" i="2"/>
  <c r="X47" i="2"/>
  <c r="T47" i="2"/>
  <c r="P47" i="2"/>
  <c r="E28" i="14" s="1"/>
  <c r="L47" i="2"/>
  <c r="H47" i="2"/>
  <c r="D47" i="2"/>
  <c r="AA47" i="2"/>
  <c r="W47" i="2"/>
  <c r="O47" i="2"/>
  <c r="G47" i="2"/>
  <c r="Q47" i="2"/>
  <c r="AG47" i="2"/>
  <c r="AF23" i="13"/>
  <c r="AF23" i="3"/>
  <c r="AD19" i="12" s="1"/>
  <c r="AL38" i="13"/>
  <c r="AL37" i="13" s="1"/>
  <c r="AL38" i="3"/>
  <c r="B47" i="1"/>
  <c r="J47" i="1"/>
  <c r="N47" i="1"/>
  <c r="R47" i="1"/>
  <c r="V47" i="1"/>
  <c r="Z47" i="1"/>
  <c r="AB28" i="3" s="1"/>
  <c r="AD47" i="1"/>
  <c r="E48" i="1"/>
  <c r="I48" i="1"/>
  <c r="M48" i="1"/>
  <c r="Q48" i="1"/>
  <c r="U48" i="1"/>
  <c r="Y48" i="1"/>
  <c r="AE36" i="13" s="1"/>
  <c r="AC48" i="1"/>
  <c r="AG48" i="1"/>
  <c r="N20" i="14"/>
  <c r="N20" i="4"/>
  <c r="N31" i="14"/>
  <c r="N31" i="4"/>
  <c r="N35" i="14"/>
  <c r="N35" i="4"/>
  <c r="F40" i="2"/>
  <c r="R40" i="2"/>
  <c r="B44" i="2"/>
  <c r="F44" i="2"/>
  <c r="N44" i="2"/>
  <c r="R44" i="2"/>
  <c r="V44" i="2"/>
  <c r="AD44" i="2"/>
  <c r="E45" i="2"/>
  <c r="I45" i="2"/>
  <c r="M45" i="2"/>
  <c r="Q45" i="2"/>
  <c r="U45" i="2"/>
  <c r="Y45" i="2"/>
  <c r="AC45" i="2"/>
  <c r="AG45" i="2"/>
  <c r="Z28" i="13"/>
  <c r="F80" i="11"/>
  <c r="F81" i="11" s="1"/>
  <c r="B48" i="2"/>
  <c r="J48" i="2"/>
  <c r="O21" i="14"/>
  <c r="O21" i="4"/>
  <c r="B40" i="1"/>
  <c r="F40" i="1"/>
  <c r="J40" i="1"/>
  <c r="N40" i="1"/>
  <c r="R40" i="1"/>
  <c r="V40" i="1"/>
  <c r="Z40" i="1"/>
  <c r="AD40" i="1"/>
  <c r="E41" i="1"/>
  <c r="I41" i="1"/>
  <c r="M41" i="1"/>
  <c r="Q41" i="1"/>
  <c r="U41" i="1"/>
  <c r="Y41" i="1"/>
  <c r="J36" i="13" s="1"/>
  <c r="L36" i="13" s="1"/>
  <c r="AC41" i="1"/>
  <c r="B44" i="1"/>
  <c r="F44" i="1"/>
  <c r="J44" i="1"/>
  <c r="N44" i="1"/>
  <c r="R44" i="1"/>
  <c r="V44" i="1"/>
  <c r="Z44" i="1"/>
  <c r="S28" i="13" s="1"/>
  <c r="U28" i="13" s="1"/>
  <c r="AD44" i="1"/>
  <c r="E45" i="1"/>
  <c r="I45" i="1"/>
  <c r="M45" i="1"/>
  <c r="Q45" i="1"/>
  <c r="U45" i="1"/>
  <c r="Y45" i="1"/>
  <c r="V36" i="13" s="1"/>
  <c r="X36" i="13" s="1"/>
  <c r="AC45" i="1"/>
  <c r="C47" i="1"/>
  <c r="G47" i="1"/>
  <c r="K47" i="1"/>
  <c r="O47" i="1"/>
  <c r="D27" i="4" s="1"/>
  <c r="S47" i="1"/>
  <c r="W47" i="1"/>
  <c r="AA47" i="1"/>
  <c r="AE47" i="1"/>
  <c r="G36" i="14" s="1"/>
  <c r="B48" i="1"/>
  <c r="F48" i="1"/>
  <c r="J48" i="1"/>
  <c r="N48" i="1"/>
  <c r="R48" i="1"/>
  <c r="V48" i="1"/>
  <c r="Z48" i="1"/>
  <c r="AE28" i="3" s="1"/>
  <c r="E49" i="1"/>
  <c r="AH15" i="3" s="1"/>
  <c r="I49" i="1"/>
  <c r="M49" i="1"/>
  <c r="Q49" i="1"/>
  <c r="U49" i="1"/>
  <c r="Y49" i="1"/>
  <c r="AC49" i="1"/>
  <c r="P21" i="14"/>
  <c r="N38" i="14"/>
  <c r="N38" i="4"/>
  <c r="C40" i="2"/>
  <c r="G40" i="2"/>
  <c r="K40" i="2"/>
  <c r="O40" i="2"/>
  <c r="S40" i="2"/>
  <c r="W40" i="2"/>
  <c r="AA40" i="2"/>
  <c r="AE40" i="2"/>
  <c r="B41" i="2"/>
  <c r="F41" i="2"/>
  <c r="J41" i="2"/>
  <c r="N41" i="2"/>
  <c r="R41" i="2"/>
  <c r="V41" i="2"/>
  <c r="Z41" i="2"/>
  <c r="K28" i="13" s="1"/>
  <c r="AD41" i="2"/>
  <c r="E42" i="2"/>
  <c r="N15" i="13" s="1"/>
  <c r="N13" i="13" s="1"/>
  <c r="I42" i="2"/>
  <c r="M42" i="2"/>
  <c r="Q42" i="2"/>
  <c r="U42" i="2"/>
  <c r="Y42" i="2"/>
  <c r="AC42" i="2"/>
  <c r="C44" i="2"/>
  <c r="G44" i="2"/>
  <c r="K44" i="2"/>
  <c r="O44" i="2"/>
  <c r="S44" i="2"/>
  <c r="W44" i="2"/>
  <c r="AA44" i="2"/>
  <c r="AE44" i="2"/>
  <c r="B45" i="2"/>
  <c r="F45" i="2"/>
  <c r="J45" i="2"/>
  <c r="N45" i="2"/>
  <c r="R45" i="2"/>
  <c r="V45" i="2"/>
  <c r="Z45" i="2"/>
  <c r="E46" i="2"/>
  <c r="I46" i="2"/>
  <c r="M46" i="2"/>
  <c r="Q46" i="2"/>
  <c r="U46" i="2"/>
  <c r="Y46" i="2"/>
  <c r="AC46" i="2"/>
  <c r="C48" i="2"/>
  <c r="G48" i="2"/>
  <c r="K48" i="2"/>
  <c r="O48" i="2"/>
  <c r="S48" i="2"/>
  <c r="W48" i="2"/>
  <c r="AA48" i="2"/>
  <c r="AE48" i="2"/>
  <c r="B49" i="2"/>
  <c r="F49" i="2"/>
  <c r="J49" i="2"/>
  <c r="N49" i="2"/>
  <c r="R49" i="2"/>
  <c r="V49" i="2"/>
  <c r="Z49" i="2"/>
  <c r="AD49" i="2"/>
  <c r="E50" i="2"/>
  <c r="AL15" i="13" s="1"/>
  <c r="AL13" i="13" s="1"/>
  <c r="I50" i="2"/>
  <c r="M50" i="2"/>
  <c r="Q50" i="2"/>
  <c r="U50" i="2"/>
  <c r="Y50" i="2"/>
  <c r="AC50" i="2"/>
  <c r="O14" i="14"/>
  <c r="O13" i="14" s="1"/>
  <c r="O14" i="4"/>
  <c r="O22" i="14"/>
  <c r="O22" i="4"/>
  <c r="O27" i="14"/>
  <c r="O27" i="4"/>
  <c r="O39" i="14"/>
  <c r="O37" i="14" s="1"/>
  <c r="O39" i="4"/>
  <c r="O42" i="14"/>
  <c r="O43" i="14"/>
  <c r="O43" i="4"/>
  <c r="N14" i="3"/>
  <c r="V14" i="3"/>
  <c r="Z14" i="3"/>
  <c r="AH14" i="3"/>
  <c r="AL14" i="3"/>
  <c r="J23" i="3"/>
  <c r="V23" i="3"/>
  <c r="Z23" i="3"/>
  <c r="X19" i="12" s="1"/>
  <c r="AH23" i="3"/>
  <c r="K30" i="3"/>
  <c r="I26" i="12" s="1"/>
  <c r="V30" i="3"/>
  <c r="AL30" i="3"/>
  <c r="AJ26" i="12" s="1"/>
  <c r="P11" i="4"/>
  <c r="O15" i="4"/>
  <c r="N21" i="4"/>
  <c r="D30" i="4"/>
  <c r="O58" i="6"/>
  <c r="O58" i="5"/>
  <c r="O28" i="14"/>
  <c r="O28" i="4"/>
  <c r="AH18" i="12"/>
  <c r="O12" i="6"/>
  <c r="O12" i="5"/>
  <c r="O23" i="5"/>
  <c r="N28" i="4"/>
  <c r="V55" i="13"/>
  <c r="B68" i="11"/>
  <c r="V55" i="3"/>
  <c r="D28" i="14"/>
  <c r="V27" i="13"/>
  <c r="X27" i="13" s="1"/>
  <c r="V27" i="3"/>
  <c r="I40" i="2"/>
  <c r="F30" i="11"/>
  <c r="N27" i="13"/>
  <c r="N27" i="3"/>
  <c r="L23" i="12" s="1"/>
  <c r="N36" i="13"/>
  <c r="N36" i="3"/>
  <c r="L35" i="12" s="1"/>
  <c r="E44" i="2"/>
  <c r="T15" i="3" s="1"/>
  <c r="R9" i="12" s="1"/>
  <c r="I44" i="2"/>
  <c r="M44" i="2"/>
  <c r="Q44" i="2"/>
  <c r="U44" i="2"/>
  <c r="Y44" i="2"/>
  <c r="AC44" i="2"/>
  <c r="AG44" i="2"/>
  <c r="W28" i="13"/>
  <c r="F60" i="11"/>
  <c r="Z27" i="13"/>
  <c r="Z27" i="3"/>
  <c r="X23" i="12" s="1"/>
  <c r="Z43" i="13"/>
  <c r="Z36" i="13"/>
  <c r="Z36" i="3"/>
  <c r="X35" i="12" s="1"/>
  <c r="E48" i="2"/>
  <c r="AF15" i="13" s="1"/>
  <c r="I48" i="2"/>
  <c r="M48" i="2"/>
  <c r="Q48" i="2"/>
  <c r="U48" i="2"/>
  <c r="Y48" i="2"/>
  <c r="AC48" i="2"/>
  <c r="AG48" i="2"/>
  <c r="F100" i="11" s="1"/>
  <c r="F101" i="11" s="1"/>
  <c r="D49" i="2"/>
  <c r="H49" i="2"/>
  <c r="L49" i="2"/>
  <c r="P49" i="2"/>
  <c r="T49" i="2"/>
  <c r="X49" i="2"/>
  <c r="AB49" i="2"/>
  <c r="AF49" i="2"/>
  <c r="F110" i="11" s="1"/>
  <c r="F111" i="11" s="1"/>
  <c r="AL27" i="13"/>
  <c r="AL27" i="3"/>
  <c r="AJ23" i="12" s="1"/>
  <c r="AL43" i="13"/>
  <c r="AL36" i="13"/>
  <c r="AL36" i="3"/>
  <c r="AJ35" i="12" s="1"/>
  <c r="O31" i="14"/>
  <c r="O31" i="4"/>
  <c r="O35" i="14"/>
  <c r="O35" i="4"/>
  <c r="N30" i="3"/>
  <c r="L26" i="12" s="1"/>
  <c r="V39" i="3"/>
  <c r="AL39" i="3"/>
  <c r="AJ38" i="12" s="1"/>
  <c r="V43" i="3"/>
  <c r="AL43" i="3"/>
  <c r="O24" i="4"/>
  <c r="O30" i="4"/>
  <c r="N36" i="4"/>
  <c r="O42" i="4"/>
  <c r="G17" i="7"/>
  <c r="S23" i="13"/>
  <c r="U23" i="13" s="1"/>
  <c r="D30" i="14"/>
  <c r="G30" i="14"/>
  <c r="S30" i="13"/>
  <c r="G30" i="4"/>
  <c r="E47" i="1"/>
  <c r="I47" i="1"/>
  <c r="M47" i="1"/>
  <c r="Q47" i="1"/>
  <c r="U47" i="1"/>
  <c r="Y47" i="1"/>
  <c r="AC47" i="1"/>
  <c r="AG47" i="1"/>
  <c r="AG23" i="13"/>
  <c r="AE28" i="13"/>
  <c r="E100" i="11"/>
  <c r="AJ22" i="13"/>
  <c r="AH27" i="13"/>
  <c r="AH27" i="3"/>
  <c r="AJ39" i="13"/>
  <c r="AH36" i="13"/>
  <c r="AJ36" i="13" s="1"/>
  <c r="AH36" i="3"/>
  <c r="N30" i="14"/>
  <c r="P30" i="14" s="1"/>
  <c r="N30" i="4"/>
  <c r="E40" i="2"/>
  <c r="H15" i="13" s="1"/>
  <c r="M40" i="2"/>
  <c r="Q40" i="2"/>
  <c r="U40" i="2"/>
  <c r="Y40" i="2"/>
  <c r="AC40" i="2"/>
  <c r="AG40" i="2"/>
  <c r="F20" i="11" s="1"/>
  <c r="F21" i="11" s="1"/>
  <c r="E40" i="1"/>
  <c r="G15" i="13" s="1"/>
  <c r="I40" i="1"/>
  <c r="M40" i="1"/>
  <c r="Q40" i="1"/>
  <c r="U40" i="1"/>
  <c r="Y40" i="1"/>
  <c r="G36" i="3" s="1"/>
  <c r="AC40" i="1"/>
  <c r="L23" i="13"/>
  <c r="J28" i="13"/>
  <c r="L30" i="13"/>
  <c r="E30" i="11"/>
  <c r="G30" i="11" s="1"/>
  <c r="E44" i="1"/>
  <c r="I44" i="1"/>
  <c r="M44" i="1"/>
  <c r="Q44" i="1"/>
  <c r="U44" i="1"/>
  <c r="Y44" i="1"/>
  <c r="S36" i="13" s="1"/>
  <c r="AC44" i="1"/>
  <c r="V28" i="13"/>
  <c r="E60" i="11"/>
  <c r="G60" i="11" s="1"/>
  <c r="AH15" i="13"/>
  <c r="AH13" i="13" s="1"/>
  <c r="N24" i="14"/>
  <c r="P24" i="14" s="1"/>
  <c r="N24" i="4"/>
  <c r="B40" i="2"/>
  <c r="J40" i="2"/>
  <c r="N40" i="2"/>
  <c r="V40" i="2"/>
  <c r="Z40" i="2"/>
  <c r="H28" i="13" s="1"/>
  <c r="E41" i="2"/>
  <c r="K15" i="3" s="1"/>
  <c r="I9" i="12" s="1"/>
  <c r="I41" i="2"/>
  <c r="M41" i="2"/>
  <c r="Q41" i="2"/>
  <c r="U41" i="2"/>
  <c r="Y41" i="2"/>
  <c r="AC41" i="2"/>
  <c r="N28" i="13"/>
  <c r="F40" i="11"/>
  <c r="J44" i="2"/>
  <c r="F48" i="2"/>
  <c r="N48" i="2"/>
  <c r="R48" i="2"/>
  <c r="V48" i="2"/>
  <c r="Z48" i="2"/>
  <c r="AF28" i="13" s="1"/>
  <c r="E49" i="2"/>
  <c r="I49" i="2"/>
  <c r="M49" i="2"/>
  <c r="Q49" i="2"/>
  <c r="U49" i="2"/>
  <c r="Y49" i="2"/>
  <c r="AC49" i="2"/>
  <c r="F120" i="11"/>
  <c r="O36" i="14"/>
  <c r="P36" i="14" s="1"/>
  <c r="O36" i="4"/>
  <c r="N15" i="3"/>
  <c r="L9" i="12" s="1"/>
  <c r="AL15" i="3"/>
  <c r="AJ9" i="12" s="1"/>
  <c r="AJ22" i="3"/>
  <c r="AH28" i="3"/>
  <c r="J30" i="3"/>
  <c r="Z30" i="3"/>
  <c r="X26" i="12" s="1"/>
  <c r="AE30" i="3"/>
  <c r="AH39" i="3"/>
  <c r="AH43" i="3"/>
  <c r="O38" i="4"/>
  <c r="O23" i="6"/>
  <c r="AH54" i="13"/>
  <c r="B107" i="11"/>
  <c r="AH54" i="3"/>
  <c r="B37" i="11"/>
  <c r="K23" i="7"/>
  <c r="J23" i="7"/>
  <c r="AO53" i="3"/>
  <c r="N57" i="6"/>
  <c r="P54" i="4"/>
  <c r="N12" i="5"/>
  <c r="N12" i="6"/>
  <c r="O57" i="6"/>
  <c r="M17" i="7"/>
  <c r="K7" i="7"/>
  <c r="L13" i="7"/>
  <c r="I29" i="7"/>
  <c r="K13" i="7"/>
  <c r="I30" i="7"/>
  <c r="K14" i="7"/>
  <c r="N14" i="7"/>
  <c r="L14" i="7"/>
  <c r="G33" i="7"/>
  <c r="P56" i="13"/>
  <c r="B49" i="11"/>
  <c r="B58" i="11"/>
  <c r="Y56" i="13"/>
  <c r="B79" i="11"/>
  <c r="AN53" i="3"/>
  <c r="N53" i="6"/>
  <c r="P50" i="4"/>
  <c r="N60" i="6"/>
  <c r="P57" i="4"/>
  <c r="L5" i="7"/>
  <c r="I21" i="7"/>
  <c r="K5" i="7"/>
  <c r="K12" i="7"/>
  <c r="N5" i="7"/>
  <c r="I22" i="7"/>
  <c r="K6" i="7"/>
  <c r="N6" i="7"/>
  <c r="G43" i="3" s="1"/>
  <c r="L6" i="7"/>
  <c r="K11" i="7"/>
  <c r="K16" i="7"/>
  <c r="F17" i="7"/>
  <c r="I26" i="7"/>
  <c r="K10" i="7"/>
  <c r="S43" i="13"/>
  <c r="B69" i="11"/>
  <c r="AH55" i="13"/>
  <c r="B108" i="11"/>
  <c r="AK56" i="13"/>
  <c r="AM56" i="13" s="1"/>
  <c r="B119" i="11"/>
  <c r="J27" i="7"/>
  <c r="L37" i="7"/>
  <c r="L5" i="8"/>
  <c r="I21" i="8"/>
  <c r="K5" i="8"/>
  <c r="O5" i="8" s="1"/>
  <c r="J6" i="8" s="1"/>
  <c r="N56" i="13"/>
  <c r="L9" i="8"/>
  <c r="I25" i="8"/>
  <c r="K9" i="8"/>
  <c r="K11" i="8"/>
  <c r="K12" i="8"/>
  <c r="L37" i="8"/>
  <c r="O37" i="8" s="1"/>
  <c r="J38" i="8" s="1"/>
  <c r="O38" i="8" s="1"/>
  <c r="J39" i="8" s="1"/>
  <c r="O39" i="8" s="1"/>
  <c r="J40" i="8" s="1"/>
  <c r="O40" i="8" s="1"/>
  <c r="J41" i="8" s="1"/>
  <c r="O41" i="8" s="1"/>
  <c r="J42" i="8" s="1"/>
  <c r="O42" i="8" s="1"/>
  <c r="F17" i="9"/>
  <c r="J17" i="9"/>
  <c r="K6" i="9"/>
  <c r="K36" i="9"/>
  <c r="L61" i="11"/>
  <c r="G61" i="11"/>
  <c r="K32" i="7"/>
  <c r="J32" i="7"/>
  <c r="K39" i="7"/>
  <c r="K43" i="7"/>
  <c r="K47" i="7"/>
  <c r="I22" i="8"/>
  <c r="K6" i="8"/>
  <c r="N6" i="8"/>
  <c r="Z56" i="13"/>
  <c r="L13" i="8"/>
  <c r="I29" i="8"/>
  <c r="K13" i="8"/>
  <c r="K24" i="8"/>
  <c r="K32" i="8"/>
  <c r="J32" i="8"/>
  <c r="K39" i="8"/>
  <c r="K43" i="8"/>
  <c r="K47" i="8"/>
  <c r="G17" i="9"/>
  <c r="K17" i="9" s="1"/>
  <c r="K5" i="9"/>
  <c r="K17" i="10"/>
  <c r="L11" i="11"/>
  <c r="L31" i="11"/>
  <c r="L41" i="11"/>
  <c r="L51" i="11"/>
  <c r="J55" i="13"/>
  <c r="B28" i="11"/>
  <c r="L9" i="7"/>
  <c r="I25" i="7"/>
  <c r="K9" i="7"/>
  <c r="J31" i="7"/>
  <c r="L38" i="7"/>
  <c r="K38" i="7"/>
  <c r="L39" i="7"/>
  <c r="L42" i="7"/>
  <c r="K42" i="7"/>
  <c r="L43" i="7"/>
  <c r="L46" i="7"/>
  <c r="K46" i="7"/>
  <c r="L47" i="7"/>
  <c r="E56" i="13"/>
  <c r="L6" i="8"/>
  <c r="I26" i="8"/>
  <c r="K10" i="8"/>
  <c r="N10" i="8"/>
  <c r="L38" i="8"/>
  <c r="K38" i="8"/>
  <c r="L42" i="8"/>
  <c r="K42" i="8"/>
  <c r="L46" i="8"/>
  <c r="K46" i="8"/>
  <c r="K28" i="7"/>
  <c r="J28" i="7"/>
  <c r="G17" i="8"/>
  <c r="M6" i="8"/>
  <c r="Q56" i="13"/>
  <c r="L10" i="8"/>
  <c r="M13" i="8"/>
  <c r="AC56" i="3" s="1"/>
  <c r="I30" i="8"/>
  <c r="K14" i="8"/>
  <c r="N14" i="8"/>
  <c r="K28" i="8"/>
  <c r="J28" i="8"/>
  <c r="F31" i="11"/>
  <c r="F41" i="11"/>
  <c r="F121" i="11"/>
  <c r="E36" i="9"/>
  <c r="N23" i="14" s="1"/>
  <c r="K6" i="10"/>
  <c r="E36" i="10"/>
  <c r="O23" i="14" s="1"/>
  <c r="O19" i="14" s="1"/>
  <c r="K5" i="10"/>
  <c r="E21" i="11"/>
  <c r="L56" i="11"/>
  <c r="L8" i="7"/>
  <c r="L12" i="7"/>
  <c r="L16" i="7"/>
  <c r="L41" i="7"/>
  <c r="L45" i="7"/>
  <c r="L8" i="8"/>
  <c r="L12" i="8"/>
  <c r="L16" i="8"/>
  <c r="L41" i="8"/>
  <c r="L45" i="8"/>
  <c r="G36" i="9"/>
  <c r="N26" i="14" s="1"/>
  <c r="G36" i="10"/>
  <c r="O26" i="4" s="1"/>
  <c r="J56" i="13"/>
  <c r="L56" i="13" s="1"/>
  <c r="V56" i="13"/>
  <c r="X56" i="13" s="1"/>
  <c r="AH56" i="13"/>
  <c r="K56" i="13"/>
  <c r="W56" i="13"/>
  <c r="AI56" i="13"/>
  <c r="AN53" i="13"/>
  <c r="AO53" i="13"/>
  <c r="F53" i="13"/>
  <c r="L28" i="13" l="1"/>
  <c r="AK24" i="3"/>
  <c r="N22" i="13"/>
  <c r="N22" i="3"/>
  <c r="L18" i="12" s="1"/>
  <c r="D56" i="14"/>
  <c r="O29" i="14"/>
  <c r="E110" i="11"/>
  <c r="L22" i="13"/>
  <c r="N42" i="13"/>
  <c r="S39" i="3"/>
  <c r="M31" i="3"/>
  <c r="X43" i="13"/>
  <c r="Z43" i="3"/>
  <c r="K23" i="8"/>
  <c r="J23" i="8"/>
  <c r="AL54" i="13"/>
  <c r="AL54" i="3"/>
  <c r="AL22" i="13"/>
  <c r="AL22" i="3"/>
  <c r="AJ18" i="12" s="1"/>
  <c r="AC56" i="13"/>
  <c r="X55" i="13"/>
  <c r="V22" i="3"/>
  <c r="G28" i="3"/>
  <c r="AL42" i="3"/>
  <c r="AH42" i="3"/>
  <c r="K54" i="13"/>
  <c r="K54" i="3"/>
  <c r="K55" i="13"/>
  <c r="L55" i="13" s="1"/>
  <c r="K55" i="3"/>
  <c r="L55" i="3" s="1"/>
  <c r="Y51" i="2"/>
  <c r="E90" i="11"/>
  <c r="AL28" i="3"/>
  <c r="AJ24" i="12" s="1"/>
  <c r="Z15" i="3"/>
  <c r="X9" i="12" s="1"/>
  <c r="G39" i="3"/>
  <c r="Q20" i="3"/>
  <c r="Z39" i="13"/>
  <c r="Z37" i="13" s="1"/>
  <c r="Z39" i="3"/>
  <c r="X38" i="12" s="1"/>
  <c r="AI54" i="13"/>
  <c r="AI54" i="3"/>
  <c r="AJ54" i="3" s="1"/>
  <c r="J24" i="7"/>
  <c r="O5" i="7"/>
  <c r="J6" i="7" s="1"/>
  <c r="B16" i="11" s="1"/>
  <c r="N39" i="3"/>
  <c r="L38" i="12" s="1"/>
  <c r="N23" i="3"/>
  <c r="L19" i="12" s="1"/>
  <c r="N43" i="13"/>
  <c r="AI55" i="13"/>
  <c r="AJ55" i="13" s="1"/>
  <c r="AI55" i="3"/>
  <c r="AJ55" i="3" s="1"/>
  <c r="W55" i="13"/>
  <c r="W55" i="3"/>
  <c r="X55" i="3"/>
  <c r="O6" i="8"/>
  <c r="B39" i="11"/>
  <c r="J27" i="8"/>
  <c r="O34" i="14"/>
  <c r="O33" i="14" s="1"/>
  <c r="K28" i="3"/>
  <c r="I24" i="12" s="1"/>
  <c r="S28" i="3"/>
  <c r="O41" i="14"/>
  <c r="N29" i="4"/>
  <c r="L71" i="11"/>
  <c r="L101" i="11"/>
  <c r="Z22" i="13"/>
  <c r="Z22" i="3"/>
  <c r="X18" i="12" s="1"/>
  <c r="AJ54" i="13"/>
  <c r="AL23" i="3"/>
  <c r="AJ19" i="12" s="1"/>
  <c r="W15" i="3"/>
  <c r="U9" i="12" s="1"/>
  <c r="M56" i="13"/>
  <c r="O56" i="13" s="1"/>
  <c r="X28" i="13"/>
  <c r="AJ27" i="13"/>
  <c r="AI43" i="13"/>
  <c r="AJ43" i="13" s="1"/>
  <c r="E23" i="14"/>
  <c r="R56" i="3"/>
  <c r="AJ56" i="3"/>
  <c r="N54" i="13"/>
  <c r="N54" i="3"/>
  <c r="O54" i="3" s="1"/>
  <c r="K31" i="8"/>
  <c r="J31" i="8"/>
  <c r="S55" i="13"/>
  <c r="M54" i="13"/>
  <c r="K49" i="7"/>
  <c r="N15" i="4" s="1"/>
  <c r="N13" i="4" s="1"/>
  <c r="S15" i="3"/>
  <c r="U30" i="13"/>
  <c r="D43" i="4"/>
  <c r="D46" i="5" s="1"/>
  <c r="D22" i="4"/>
  <c r="D25" i="6" s="1"/>
  <c r="J15" i="3"/>
  <c r="L15" i="3" s="1"/>
  <c r="L27" i="13"/>
  <c r="AE19" i="12"/>
  <c r="D28" i="4"/>
  <c r="D31" i="5" s="1"/>
  <c r="G23" i="4"/>
  <c r="S15" i="13"/>
  <c r="S13" i="13" s="1"/>
  <c r="D23" i="4"/>
  <c r="E31" i="11"/>
  <c r="G31" i="11" s="1"/>
  <c r="AG23" i="3"/>
  <c r="D15" i="14"/>
  <c r="G23" i="14"/>
  <c r="G28" i="14"/>
  <c r="D42" i="4"/>
  <c r="D45" i="5" s="1"/>
  <c r="AB42" i="13"/>
  <c r="E120" i="11"/>
  <c r="E80" i="11"/>
  <c r="E81" i="11" s="1"/>
  <c r="G81" i="11" s="1"/>
  <c r="M42" i="13"/>
  <c r="O42" i="13" s="1"/>
  <c r="G28" i="4"/>
  <c r="G31" i="5" s="1"/>
  <c r="E29" i="12"/>
  <c r="E10" i="12"/>
  <c r="H9" i="12"/>
  <c r="J9" i="12" s="1"/>
  <c r="Z24" i="12"/>
  <c r="O25" i="4"/>
  <c r="O29" i="6"/>
  <c r="O29" i="5"/>
  <c r="N55" i="4"/>
  <c r="E35" i="12"/>
  <c r="Q9" i="12"/>
  <c r="S9" i="12" s="1"/>
  <c r="U15" i="3"/>
  <c r="N25" i="14"/>
  <c r="P23" i="14"/>
  <c r="O58" i="14"/>
  <c r="O58" i="4"/>
  <c r="J43" i="8"/>
  <c r="O43" i="8" s="1"/>
  <c r="J44" i="8" s="1"/>
  <c r="O44" i="8" s="1"/>
  <c r="J45" i="8" s="1"/>
  <c r="O45" i="8" s="1"/>
  <c r="J46" i="8" s="1"/>
  <c r="O46" i="8" s="1"/>
  <c r="J47" i="8" s="1"/>
  <c r="O47" i="8" s="1"/>
  <c r="J48" i="8" s="1"/>
  <c r="O48" i="8" s="1"/>
  <c r="J7" i="8"/>
  <c r="O7" i="8" s="1"/>
  <c r="H49" i="13"/>
  <c r="H49" i="3"/>
  <c r="I15" i="13"/>
  <c r="E91" i="11"/>
  <c r="E24" i="12"/>
  <c r="AF9" i="12"/>
  <c r="D30" i="5"/>
  <c r="D30" i="6"/>
  <c r="Y55" i="13"/>
  <c r="B78" i="11"/>
  <c r="Y55" i="3"/>
  <c r="L49" i="7"/>
  <c r="G21" i="11"/>
  <c r="K30" i="8"/>
  <c r="J30" i="8"/>
  <c r="J26" i="8"/>
  <c r="K26" i="8"/>
  <c r="P55" i="13"/>
  <c r="B48" i="11"/>
  <c r="P55" i="3"/>
  <c r="AC55" i="13"/>
  <c r="AC55" i="3"/>
  <c r="H54" i="13"/>
  <c r="H54" i="3"/>
  <c r="Z54" i="13"/>
  <c r="Z54" i="3"/>
  <c r="J25" i="8"/>
  <c r="K25" i="8"/>
  <c r="G55" i="14"/>
  <c r="D55" i="14"/>
  <c r="S54" i="13"/>
  <c r="B57" i="11"/>
  <c r="G55" i="4"/>
  <c r="S54" i="3"/>
  <c r="D55" i="4"/>
  <c r="V54" i="13"/>
  <c r="B67" i="11"/>
  <c r="V54" i="3"/>
  <c r="G54" i="13"/>
  <c r="I54" i="13" s="1"/>
  <c r="B17" i="11"/>
  <c r="G54" i="3"/>
  <c r="Y54" i="13"/>
  <c r="B77" i="11"/>
  <c r="Y54" i="3"/>
  <c r="D55" i="13"/>
  <c r="B8" i="11"/>
  <c r="L17" i="7"/>
  <c r="D55" i="3"/>
  <c r="AA56" i="13"/>
  <c r="AE56" i="13"/>
  <c r="B99" i="11"/>
  <c r="AE56" i="3"/>
  <c r="J29" i="7"/>
  <c r="K29" i="7"/>
  <c r="O41" i="6"/>
  <c r="O37" i="4"/>
  <c r="O41" i="5"/>
  <c r="AF38" i="12"/>
  <c r="AH38" i="12" s="1"/>
  <c r="AJ39" i="3"/>
  <c r="H26" i="12"/>
  <c r="J26" i="12" s="1"/>
  <c r="L30" i="3"/>
  <c r="AI20" i="13"/>
  <c r="AI20" i="3"/>
  <c r="AF38" i="13"/>
  <c r="AF38" i="3"/>
  <c r="K29" i="13"/>
  <c r="K29" i="3"/>
  <c r="I25" i="12" s="1"/>
  <c r="H11" i="13"/>
  <c r="H11" i="3"/>
  <c r="D31" i="14"/>
  <c r="G31" i="14"/>
  <c r="S31" i="13"/>
  <c r="D31" i="4"/>
  <c r="G31" i="4"/>
  <c r="S31" i="3"/>
  <c r="G50" i="13"/>
  <c r="G50" i="3"/>
  <c r="G24" i="13"/>
  <c r="G24" i="3"/>
  <c r="H50" i="13"/>
  <c r="H50" i="3"/>
  <c r="F43" i="12" s="1"/>
  <c r="H26" i="13"/>
  <c r="H24" i="13"/>
  <c r="H26" i="3"/>
  <c r="H24" i="3"/>
  <c r="F20" i="12" s="1"/>
  <c r="N23" i="4"/>
  <c r="AF35" i="12"/>
  <c r="AH35" i="12" s="1"/>
  <c r="AJ36" i="3"/>
  <c r="AB29" i="13"/>
  <c r="AB29" i="3"/>
  <c r="F23" i="14"/>
  <c r="G15" i="14"/>
  <c r="O45" i="6"/>
  <c r="O41" i="4"/>
  <c r="O45" i="5"/>
  <c r="T29" i="12"/>
  <c r="T10" i="12"/>
  <c r="X43" i="3"/>
  <c r="AF20" i="13"/>
  <c r="AF20" i="3"/>
  <c r="E20" i="14"/>
  <c r="H20" i="14"/>
  <c r="T20" i="13"/>
  <c r="H20" i="4"/>
  <c r="E20" i="4"/>
  <c r="T20" i="3"/>
  <c r="K15" i="13"/>
  <c r="V36" i="3"/>
  <c r="O23" i="4"/>
  <c r="D33" i="6"/>
  <c r="D33" i="5"/>
  <c r="O18" i="5"/>
  <c r="O18" i="6"/>
  <c r="AF19" i="12"/>
  <c r="H19" i="12"/>
  <c r="J19" i="12" s="1"/>
  <c r="L23" i="3"/>
  <c r="X8" i="12"/>
  <c r="Z13" i="3"/>
  <c r="O30" i="6"/>
  <c r="O30" i="5"/>
  <c r="O17" i="6"/>
  <c r="O13" i="4"/>
  <c r="O17" i="5"/>
  <c r="AL31" i="13"/>
  <c r="AL31" i="3"/>
  <c r="AJ27" i="12" s="1"/>
  <c r="AI38" i="13"/>
  <c r="AI37" i="13" s="1"/>
  <c r="AI38" i="3"/>
  <c r="AJ38" i="3" s="1"/>
  <c r="AJ37" i="3" s="1"/>
  <c r="AF39" i="13"/>
  <c r="AF39" i="3"/>
  <c r="AD38" i="12" s="1"/>
  <c r="AF14" i="13"/>
  <c r="AF13" i="13" s="1"/>
  <c r="AF14" i="3"/>
  <c r="Z29" i="13"/>
  <c r="Z29" i="3"/>
  <c r="X25" i="12" s="1"/>
  <c r="W21" i="13"/>
  <c r="W21" i="3"/>
  <c r="U17" i="12" s="1"/>
  <c r="H43" i="14"/>
  <c r="E43" i="14"/>
  <c r="T43" i="13"/>
  <c r="U43" i="13" s="1"/>
  <c r="H43" i="4"/>
  <c r="E43" i="4"/>
  <c r="T43" i="3"/>
  <c r="E22" i="14"/>
  <c r="H22" i="14"/>
  <c r="T22" i="13"/>
  <c r="H22" i="4"/>
  <c r="T22" i="3"/>
  <c r="R18" i="12" s="1"/>
  <c r="E22" i="4"/>
  <c r="N20" i="13"/>
  <c r="N20" i="3"/>
  <c r="K42" i="13"/>
  <c r="K41" i="13" s="1"/>
  <c r="K42" i="3"/>
  <c r="P38" i="14"/>
  <c r="N37" i="14"/>
  <c r="AH20" i="13"/>
  <c r="AH20" i="3"/>
  <c r="AE38" i="13"/>
  <c r="AE38" i="3"/>
  <c r="AB39" i="13"/>
  <c r="AB39" i="3"/>
  <c r="AB14" i="13"/>
  <c r="AB14" i="3"/>
  <c r="V29" i="13"/>
  <c r="V29" i="3"/>
  <c r="G35" i="14"/>
  <c r="D35" i="14"/>
  <c r="S35" i="13"/>
  <c r="G35" i="4"/>
  <c r="D35" i="4"/>
  <c r="S35" i="3"/>
  <c r="G26" i="14"/>
  <c r="D26" i="14"/>
  <c r="S26" i="13"/>
  <c r="D26" i="4"/>
  <c r="G26" i="4"/>
  <c r="S26" i="3"/>
  <c r="J50" i="13"/>
  <c r="J50" i="3"/>
  <c r="J24" i="13"/>
  <c r="J24" i="3"/>
  <c r="G21" i="13"/>
  <c r="G21" i="3"/>
  <c r="O26" i="14"/>
  <c r="O25" i="14" s="1"/>
  <c r="O18" i="14" s="1"/>
  <c r="O17" i="14" s="1"/>
  <c r="O46" i="14" s="1"/>
  <c r="O49" i="14" s="1"/>
  <c r="O48" i="14" s="1"/>
  <c r="W50" i="13"/>
  <c r="W50" i="3"/>
  <c r="U43" i="12" s="1"/>
  <c r="W24" i="13"/>
  <c r="W26" i="13"/>
  <c r="W25" i="13" s="1"/>
  <c r="W26" i="3"/>
  <c r="X26" i="3" s="1"/>
  <c r="W24" i="3"/>
  <c r="U20" i="12" s="1"/>
  <c r="H38" i="13"/>
  <c r="H38" i="3"/>
  <c r="P31" i="4"/>
  <c r="N34" i="6"/>
  <c r="N34" i="5"/>
  <c r="N23" i="6"/>
  <c r="P20" i="4"/>
  <c r="N19" i="4"/>
  <c r="N23" i="5"/>
  <c r="AE31" i="13"/>
  <c r="AE31" i="3"/>
  <c r="AB38" i="13"/>
  <c r="AB38" i="3"/>
  <c r="AC15" i="13"/>
  <c r="AC15" i="3"/>
  <c r="AA9" i="12" s="1"/>
  <c r="AC30" i="13"/>
  <c r="AC30" i="3"/>
  <c r="AA26" i="12" s="1"/>
  <c r="AC38" i="13"/>
  <c r="AC38" i="3"/>
  <c r="AC14" i="13"/>
  <c r="AC14" i="3"/>
  <c r="X37" i="12"/>
  <c r="X36" i="12" s="1"/>
  <c r="Z37" i="3"/>
  <c r="Q29" i="13"/>
  <c r="Q29" i="3"/>
  <c r="O25" i="12" s="1"/>
  <c r="Q23" i="13"/>
  <c r="Q23" i="3"/>
  <c r="O19" i="12" s="1"/>
  <c r="Q21" i="13"/>
  <c r="Q21" i="3"/>
  <c r="O17" i="12" s="1"/>
  <c r="Q36" i="13"/>
  <c r="Q36" i="3"/>
  <c r="O35" i="12" s="1"/>
  <c r="E14" i="13"/>
  <c r="E14" i="3"/>
  <c r="C51" i="2"/>
  <c r="E36" i="13"/>
  <c r="E36" i="3"/>
  <c r="AE51" i="2"/>
  <c r="E28" i="13"/>
  <c r="P51" i="2"/>
  <c r="E28" i="3"/>
  <c r="F10" i="11"/>
  <c r="F11" i="11" s="1"/>
  <c r="AF51" i="2"/>
  <c r="E21" i="13"/>
  <c r="E21" i="3"/>
  <c r="J51" i="2"/>
  <c r="E35" i="13"/>
  <c r="E35" i="3"/>
  <c r="AD51" i="2"/>
  <c r="N46" i="6"/>
  <c r="N46" i="5"/>
  <c r="P43" i="4"/>
  <c r="N42" i="6"/>
  <c r="N42" i="5"/>
  <c r="P39" i="4"/>
  <c r="N25" i="6"/>
  <c r="N25" i="5"/>
  <c r="P22" i="4"/>
  <c r="AK23" i="13"/>
  <c r="AM23" i="13" s="1"/>
  <c r="AK23" i="3"/>
  <c r="AK38" i="13"/>
  <c r="AK38" i="3"/>
  <c r="AK39" i="13"/>
  <c r="AM39" i="13" s="1"/>
  <c r="AK39" i="3"/>
  <c r="Y29" i="13"/>
  <c r="AA29" i="13" s="1"/>
  <c r="Y29" i="3"/>
  <c r="Y26" i="13"/>
  <c r="Y26" i="3"/>
  <c r="Y21" i="13"/>
  <c r="AA21" i="13" s="1"/>
  <c r="Y21" i="3"/>
  <c r="Y39" i="13"/>
  <c r="AA39" i="13" s="1"/>
  <c r="Y39" i="3"/>
  <c r="U23" i="3"/>
  <c r="N24" i="12"/>
  <c r="M29" i="13"/>
  <c r="M29" i="3"/>
  <c r="M23" i="13"/>
  <c r="O23" i="13" s="1"/>
  <c r="M23" i="3"/>
  <c r="M22" i="13"/>
  <c r="O22" i="13" s="1"/>
  <c r="M22" i="3"/>
  <c r="M43" i="13"/>
  <c r="O43" i="13" s="1"/>
  <c r="M43" i="3"/>
  <c r="E26" i="12"/>
  <c r="G26" i="12" s="1"/>
  <c r="I30" i="3"/>
  <c r="G15" i="3"/>
  <c r="D28" i="13"/>
  <c r="P51" i="1"/>
  <c r="D28" i="3"/>
  <c r="H18" i="12"/>
  <c r="J18" i="12" s="1"/>
  <c r="L22" i="3"/>
  <c r="AJ28" i="12"/>
  <c r="AL41" i="3"/>
  <c r="AG8" i="12"/>
  <c r="Z41" i="13"/>
  <c r="Q26" i="3"/>
  <c r="L28" i="12"/>
  <c r="N41" i="3"/>
  <c r="I8" i="12"/>
  <c r="K13" i="3"/>
  <c r="AI20" i="12"/>
  <c r="AE43" i="3"/>
  <c r="AC18" i="12"/>
  <c r="W43" i="12"/>
  <c r="T24" i="12"/>
  <c r="V24" i="12" s="1"/>
  <c r="X28" i="3"/>
  <c r="G43" i="4"/>
  <c r="D43" i="14"/>
  <c r="G22" i="4"/>
  <c r="G22" i="14"/>
  <c r="R50" i="13"/>
  <c r="R24" i="13"/>
  <c r="L42" i="13"/>
  <c r="L41" i="13" s="1"/>
  <c r="J41" i="13"/>
  <c r="D31" i="13"/>
  <c r="D31" i="3"/>
  <c r="U51" i="1"/>
  <c r="G28" i="13"/>
  <c r="I28" i="13" s="1"/>
  <c r="H8" i="12"/>
  <c r="J8" i="12" s="1"/>
  <c r="L14" i="3"/>
  <c r="J13" i="3"/>
  <c r="AA16" i="12"/>
  <c r="H30" i="4"/>
  <c r="I30" i="4" s="1"/>
  <c r="E30" i="14"/>
  <c r="F30" i="14" s="1"/>
  <c r="T15" i="13"/>
  <c r="C16" i="12"/>
  <c r="AC34" i="12"/>
  <c r="AG35" i="3"/>
  <c r="AB15" i="3"/>
  <c r="T17" i="12"/>
  <c r="N19" i="12"/>
  <c r="R23" i="3"/>
  <c r="K27" i="12"/>
  <c r="H17" i="12"/>
  <c r="D23" i="13"/>
  <c r="D23" i="3"/>
  <c r="L51" i="1"/>
  <c r="G36" i="13"/>
  <c r="Y51" i="1"/>
  <c r="G51" i="1"/>
  <c r="W51" i="1"/>
  <c r="D42" i="13"/>
  <c r="D42" i="3"/>
  <c r="F51" i="1"/>
  <c r="V51" i="1"/>
  <c r="AL34" i="13"/>
  <c r="AL33" i="13" s="1"/>
  <c r="AD34" i="12"/>
  <c r="X34" i="12"/>
  <c r="X33" i="12" s="1"/>
  <c r="Z34" i="3"/>
  <c r="E28" i="4"/>
  <c r="H28" i="3"/>
  <c r="F24" i="12" s="1"/>
  <c r="E51" i="2"/>
  <c r="AF22" i="12"/>
  <c r="AH25" i="3"/>
  <c r="AC23" i="12"/>
  <c r="AB28" i="13"/>
  <c r="T34" i="12"/>
  <c r="X35" i="3"/>
  <c r="V34" i="3"/>
  <c r="S36" i="3"/>
  <c r="G42" i="14"/>
  <c r="P14" i="13"/>
  <c r="P14" i="3"/>
  <c r="P39" i="13"/>
  <c r="P39" i="3"/>
  <c r="P38" i="13"/>
  <c r="P38" i="3"/>
  <c r="M38" i="13"/>
  <c r="M38" i="3"/>
  <c r="J34" i="13"/>
  <c r="C27" i="12"/>
  <c r="E55" i="13"/>
  <c r="E55" i="3"/>
  <c r="K26" i="7"/>
  <c r="D38" i="4" s="1"/>
  <c r="J26" i="7"/>
  <c r="D39" i="14" s="1"/>
  <c r="K22" i="7"/>
  <c r="J22" i="7"/>
  <c r="AP53" i="13"/>
  <c r="AL55" i="13"/>
  <c r="AL55" i="3"/>
  <c r="AJ56" i="13"/>
  <c r="Z55" i="13"/>
  <c r="Z55" i="3"/>
  <c r="AK55" i="13"/>
  <c r="AM55" i="13" s="1"/>
  <c r="B118" i="11"/>
  <c r="AK55" i="3"/>
  <c r="AM55" i="3" s="1"/>
  <c r="AF56" i="13"/>
  <c r="AF56" i="3"/>
  <c r="K36" i="10"/>
  <c r="E57" i="14"/>
  <c r="H57" i="14"/>
  <c r="T56" i="13"/>
  <c r="H57" i="4"/>
  <c r="E57" i="4"/>
  <c r="T56" i="3"/>
  <c r="H55" i="13"/>
  <c r="H55" i="3"/>
  <c r="P54" i="13"/>
  <c r="B47" i="11"/>
  <c r="P54" i="3"/>
  <c r="AC54" i="13"/>
  <c r="AC54" i="3"/>
  <c r="W54" i="13"/>
  <c r="W54" i="3"/>
  <c r="Q55" i="13"/>
  <c r="Q55" i="3"/>
  <c r="J21" i="8"/>
  <c r="K21" i="8"/>
  <c r="G55" i="13"/>
  <c r="B18" i="11"/>
  <c r="G55" i="3"/>
  <c r="O6" i="7"/>
  <c r="D54" i="13"/>
  <c r="B7" i="11"/>
  <c r="K17" i="7"/>
  <c r="D54" i="3"/>
  <c r="P60" i="6"/>
  <c r="P60" i="5"/>
  <c r="J54" i="14"/>
  <c r="J54" i="4"/>
  <c r="AP53" i="3"/>
  <c r="G56" i="4"/>
  <c r="G56" i="14"/>
  <c r="AE54" i="13"/>
  <c r="B97" i="11"/>
  <c r="AE54" i="3"/>
  <c r="AB56" i="13"/>
  <c r="AD56" i="13" s="1"/>
  <c r="B89" i="11"/>
  <c r="AB56" i="3"/>
  <c r="AD56" i="3" s="1"/>
  <c r="AB55" i="13"/>
  <c r="AD55" i="13" s="1"/>
  <c r="B88" i="11"/>
  <c r="D56" i="4"/>
  <c r="AB55" i="3"/>
  <c r="AD55" i="3" s="1"/>
  <c r="K54" i="14"/>
  <c r="K54" i="4"/>
  <c r="AF24" i="12"/>
  <c r="V15" i="3"/>
  <c r="V13" i="3" s="1"/>
  <c r="AI31" i="13"/>
  <c r="AI31" i="3"/>
  <c r="AG27" i="12" s="1"/>
  <c r="Z15" i="13"/>
  <c r="Z13" i="13" s="1"/>
  <c r="K50" i="13"/>
  <c r="K50" i="3"/>
  <c r="I43" i="12" s="1"/>
  <c r="K24" i="13"/>
  <c r="K26" i="13"/>
  <c r="K25" i="13" s="1"/>
  <c r="K26" i="3"/>
  <c r="K24" i="3"/>
  <c r="I20" i="12" s="1"/>
  <c r="N27" i="6"/>
  <c r="P24" i="4"/>
  <c r="N27" i="5"/>
  <c r="V15" i="13"/>
  <c r="G29" i="14"/>
  <c r="D29" i="14"/>
  <c r="S29" i="13"/>
  <c r="D29" i="4"/>
  <c r="G29" i="4"/>
  <c r="S29" i="3"/>
  <c r="G20" i="13"/>
  <c r="G20" i="3"/>
  <c r="AC24" i="12"/>
  <c r="AB50" i="13"/>
  <c r="AD50" i="13" s="1"/>
  <c r="AB50" i="3"/>
  <c r="AB24" i="13"/>
  <c r="AB24" i="3"/>
  <c r="G33" i="5"/>
  <c r="G33" i="6"/>
  <c r="G26" i="6"/>
  <c r="G26" i="5"/>
  <c r="D15" i="4"/>
  <c r="N39" i="6"/>
  <c r="P36" i="4"/>
  <c r="N39" i="5"/>
  <c r="O38" i="6"/>
  <c r="O38" i="5"/>
  <c r="O34" i="4"/>
  <c r="O32" i="5"/>
  <c r="O32" i="6"/>
  <c r="AI30" i="13"/>
  <c r="AJ30" i="13" s="1"/>
  <c r="AI30" i="3"/>
  <c r="AI15" i="13"/>
  <c r="AI15" i="3"/>
  <c r="AG9" i="12" s="1"/>
  <c r="AF31" i="13"/>
  <c r="AF31" i="3"/>
  <c r="AD27" i="12" s="1"/>
  <c r="W15" i="13"/>
  <c r="W13" i="13" s="1"/>
  <c r="H31" i="14"/>
  <c r="E31" i="14"/>
  <c r="T31" i="13"/>
  <c r="H31" i="4"/>
  <c r="E31" i="4"/>
  <c r="T31" i="3"/>
  <c r="R27" i="12" s="1"/>
  <c r="H20" i="13"/>
  <c r="H20" i="3"/>
  <c r="F28" i="14"/>
  <c r="T18" i="12"/>
  <c r="V18" i="12" s="1"/>
  <c r="X22" i="3"/>
  <c r="N26" i="4"/>
  <c r="P12" i="5"/>
  <c r="P12" i="6"/>
  <c r="T26" i="12"/>
  <c r="V26" i="12" s="1"/>
  <c r="X30" i="3"/>
  <c r="T8" i="12"/>
  <c r="X14" i="3"/>
  <c r="AL29" i="13"/>
  <c r="AL29" i="3"/>
  <c r="AJ25" i="12" s="1"/>
  <c r="AI35" i="13"/>
  <c r="AI34" i="13" s="1"/>
  <c r="AI33" i="13" s="1"/>
  <c r="AI35" i="3"/>
  <c r="AF36" i="13"/>
  <c r="AG36" i="13" s="1"/>
  <c r="AF36" i="3"/>
  <c r="AD35" i="12" s="1"/>
  <c r="AF27" i="13"/>
  <c r="AF27" i="3"/>
  <c r="AD23" i="12" s="1"/>
  <c r="Z50" i="13"/>
  <c r="AA50" i="13" s="1"/>
  <c r="Z50" i="3"/>
  <c r="X43" i="12" s="1"/>
  <c r="Z26" i="13"/>
  <c r="Z25" i="13" s="1"/>
  <c r="Z24" i="13"/>
  <c r="Z24" i="3"/>
  <c r="X20" i="12" s="1"/>
  <c r="Z26" i="3"/>
  <c r="W42" i="13"/>
  <c r="W41" i="13" s="1"/>
  <c r="W42" i="3"/>
  <c r="X42" i="3" s="1"/>
  <c r="X41" i="3" s="1"/>
  <c r="H42" i="14"/>
  <c r="E42" i="14"/>
  <c r="H42" i="4"/>
  <c r="E42" i="4"/>
  <c r="N31" i="13"/>
  <c r="O31" i="13" s="1"/>
  <c r="N31" i="3"/>
  <c r="L27" i="12" s="1"/>
  <c r="K38" i="13"/>
  <c r="K37" i="13" s="1"/>
  <c r="K38" i="3"/>
  <c r="K11" i="13"/>
  <c r="K11" i="3"/>
  <c r="H39" i="13"/>
  <c r="H39" i="3"/>
  <c r="F38" i="12" s="1"/>
  <c r="H14" i="13"/>
  <c r="H13" i="13" s="1"/>
  <c r="H14" i="3"/>
  <c r="AH31" i="13"/>
  <c r="AH31" i="3"/>
  <c r="AE26" i="13"/>
  <c r="AE26" i="3"/>
  <c r="AB36" i="13"/>
  <c r="AB36" i="3"/>
  <c r="AB27" i="13"/>
  <c r="AB27" i="3"/>
  <c r="V50" i="13"/>
  <c r="V50" i="3"/>
  <c r="V24" i="13"/>
  <c r="X24" i="13" s="1"/>
  <c r="V24" i="3"/>
  <c r="D21" i="14"/>
  <c r="G21" i="14"/>
  <c r="S21" i="13"/>
  <c r="G21" i="4"/>
  <c r="D21" i="4"/>
  <c r="S21" i="3"/>
  <c r="J20" i="13"/>
  <c r="J20" i="3"/>
  <c r="G42" i="13"/>
  <c r="G42" i="3"/>
  <c r="O24" i="6"/>
  <c r="O24" i="5"/>
  <c r="W20" i="13"/>
  <c r="W20" i="3"/>
  <c r="T38" i="13"/>
  <c r="T38" i="3"/>
  <c r="H42" i="13"/>
  <c r="H42" i="3"/>
  <c r="P31" i="14"/>
  <c r="N19" i="14"/>
  <c r="P20" i="14"/>
  <c r="AE29" i="13"/>
  <c r="AE29" i="3"/>
  <c r="AB35" i="13"/>
  <c r="AB35" i="3"/>
  <c r="AB26" i="13"/>
  <c r="AB26" i="3"/>
  <c r="AC27" i="13"/>
  <c r="AC27" i="3"/>
  <c r="AA23" i="12" s="1"/>
  <c r="AC42" i="13"/>
  <c r="AC42" i="3"/>
  <c r="AC22" i="13"/>
  <c r="AC22" i="3"/>
  <c r="AA18" i="12" s="1"/>
  <c r="H23" i="4"/>
  <c r="I23" i="4" s="1"/>
  <c r="Q14" i="13"/>
  <c r="Q14" i="3"/>
  <c r="Q43" i="13"/>
  <c r="Q43" i="3"/>
  <c r="Q28" i="13"/>
  <c r="R28" i="13" s="1"/>
  <c r="Q28" i="3"/>
  <c r="O24" i="12" s="1"/>
  <c r="F50" i="11"/>
  <c r="F51" i="11" s="1"/>
  <c r="G51" i="11" s="1"/>
  <c r="Q35" i="13"/>
  <c r="Q35" i="3"/>
  <c r="L37" i="12"/>
  <c r="L36" i="12" s="1"/>
  <c r="N37" i="3"/>
  <c r="E22" i="13"/>
  <c r="E22" i="3"/>
  <c r="K51" i="2"/>
  <c r="E15" i="13"/>
  <c r="E15" i="3"/>
  <c r="D51" i="2"/>
  <c r="E30" i="13"/>
  <c r="E30" i="3"/>
  <c r="T51" i="2"/>
  <c r="E11" i="13"/>
  <c r="E11" i="3"/>
  <c r="E38" i="13"/>
  <c r="E38" i="3"/>
  <c r="R51" i="2"/>
  <c r="G51" i="2"/>
  <c r="P43" i="14"/>
  <c r="P39" i="14"/>
  <c r="P22" i="14"/>
  <c r="AK29" i="13"/>
  <c r="AK29" i="3"/>
  <c r="AK36" i="13"/>
  <c r="AM36" i="13" s="1"/>
  <c r="AK36" i="3"/>
  <c r="AK28" i="13"/>
  <c r="AM28" i="13" s="1"/>
  <c r="AK28" i="3"/>
  <c r="G120" i="11"/>
  <c r="E121" i="11"/>
  <c r="G121" i="11" s="1"/>
  <c r="AK35" i="13"/>
  <c r="AK35" i="3"/>
  <c r="AK43" i="13"/>
  <c r="AM43" i="13" s="1"/>
  <c r="AK43" i="3"/>
  <c r="Z19" i="12"/>
  <c r="Y14" i="13"/>
  <c r="Y14" i="3"/>
  <c r="Y43" i="13"/>
  <c r="AA43" i="13" s="1"/>
  <c r="Y43" i="3"/>
  <c r="Y23" i="13"/>
  <c r="AA23" i="13" s="1"/>
  <c r="Y23" i="3"/>
  <c r="Y38" i="13"/>
  <c r="Y38" i="3"/>
  <c r="T37" i="12"/>
  <c r="V37" i="3"/>
  <c r="S19" i="12"/>
  <c r="M20" i="13"/>
  <c r="M20" i="3"/>
  <c r="M28" i="13"/>
  <c r="O28" i="13" s="1"/>
  <c r="M28" i="3"/>
  <c r="E40" i="11"/>
  <c r="M27" i="13"/>
  <c r="O27" i="13" s="1"/>
  <c r="M27" i="3"/>
  <c r="M25" i="3" s="1"/>
  <c r="M36" i="13"/>
  <c r="O36" i="13" s="1"/>
  <c r="M36" i="3"/>
  <c r="M34" i="3" s="1"/>
  <c r="H51" i="1"/>
  <c r="AL41" i="13"/>
  <c r="AI13" i="13"/>
  <c r="U29" i="12"/>
  <c r="U10" i="12"/>
  <c r="K13" i="13"/>
  <c r="M51" i="2"/>
  <c r="AE43" i="13"/>
  <c r="T28" i="12"/>
  <c r="V41" i="3"/>
  <c r="Q38" i="12"/>
  <c r="Q8" i="12"/>
  <c r="S13" i="3"/>
  <c r="G14" i="14"/>
  <c r="N27" i="12"/>
  <c r="P27" i="12" s="1"/>
  <c r="R31" i="3"/>
  <c r="K34" i="12"/>
  <c r="O35" i="3"/>
  <c r="M42" i="3"/>
  <c r="E38" i="12"/>
  <c r="G38" i="12" s="1"/>
  <c r="I39" i="3"/>
  <c r="E8" i="12"/>
  <c r="I14" i="3"/>
  <c r="G13" i="3"/>
  <c r="D24" i="13"/>
  <c r="D24" i="3"/>
  <c r="M51" i="1"/>
  <c r="K43" i="12"/>
  <c r="J36" i="3"/>
  <c r="J34" i="3" s="1"/>
  <c r="D15" i="13"/>
  <c r="D51" i="1"/>
  <c r="D15" i="3"/>
  <c r="L14" i="13"/>
  <c r="U34" i="12"/>
  <c r="U33" i="12" s="1"/>
  <c r="W34" i="3"/>
  <c r="E30" i="4"/>
  <c r="F30" i="4" s="1"/>
  <c r="H15" i="14"/>
  <c r="H15" i="3"/>
  <c r="F9" i="12" s="1"/>
  <c r="I51" i="2"/>
  <c r="AF17" i="12"/>
  <c r="AG35" i="13"/>
  <c r="AE34" i="13"/>
  <c r="AB15" i="13"/>
  <c r="X21" i="13"/>
  <c r="R23" i="13"/>
  <c r="H38" i="12"/>
  <c r="J38" i="12" s="1"/>
  <c r="L39" i="3"/>
  <c r="E23" i="12"/>
  <c r="D29" i="13"/>
  <c r="D29" i="3"/>
  <c r="Q51" i="1"/>
  <c r="D22" i="13"/>
  <c r="D22" i="3"/>
  <c r="K51" i="1"/>
  <c r="D43" i="13"/>
  <c r="D43" i="3"/>
  <c r="AA51" i="1"/>
  <c r="D21" i="13"/>
  <c r="D21" i="3"/>
  <c r="J51" i="1"/>
  <c r="Z51" i="1"/>
  <c r="AI43" i="3"/>
  <c r="Z34" i="13"/>
  <c r="L34" i="12"/>
  <c r="L33" i="12" s="1"/>
  <c r="L32" i="12" s="1"/>
  <c r="N34" i="3"/>
  <c r="AH25" i="13"/>
  <c r="AG27" i="13"/>
  <c r="AB42" i="3"/>
  <c r="V34" i="13"/>
  <c r="X35" i="13"/>
  <c r="X34" i="13" s="1"/>
  <c r="G36" i="4"/>
  <c r="D36" i="14"/>
  <c r="D42" i="14"/>
  <c r="P42" i="13"/>
  <c r="P42" i="3"/>
  <c r="M21" i="13"/>
  <c r="O21" i="13" s="1"/>
  <c r="M21" i="3"/>
  <c r="AI27" i="12"/>
  <c r="AK27" i="12" s="1"/>
  <c r="AM31" i="3"/>
  <c r="N55" i="13"/>
  <c r="N55" i="3"/>
  <c r="AF54" i="13"/>
  <c r="AF54" i="3"/>
  <c r="E55" i="14"/>
  <c r="H55" i="14"/>
  <c r="T54" i="13"/>
  <c r="E55" i="4"/>
  <c r="H55" i="4"/>
  <c r="T54" i="3"/>
  <c r="AE55" i="13"/>
  <c r="AG55" i="13" s="1"/>
  <c r="B98" i="11"/>
  <c r="AE55" i="3"/>
  <c r="AG55" i="3" s="1"/>
  <c r="AB54" i="13"/>
  <c r="AD54" i="13" s="1"/>
  <c r="B87" i="11"/>
  <c r="AB54" i="3"/>
  <c r="J54" i="13"/>
  <c r="L54" i="13" s="1"/>
  <c r="B27" i="11"/>
  <c r="J54" i="3"/>
  <c r="L54" i="3" s="1"/>
  <c r="AC26" i="12"/>
  <c r="AE26" i="12" s="1"/>
  <c r="AG30" i="3"/>
  <c r="AI29" i="13"/>
  <c r="AI29" i="3"/>
  <c r="AG25" i="12" s="1"/>
  <c r="AF42" i="13"/>
  <c r="AF42" i="3"/>
  <c r="H21" i="14"/>
  <c r="E21" i="14"/>
  <c r="T21" i="13"/>
  <c r="E21" i="4"/>
  <c r="H21" i="4"/>
  <c r="T21" i="3"/>
  <c r="R17" i="12" s="1"/>
  <c r="K20" i="13"/>
  <c r="K20" i="3"/>
  <c r="AJ15" i="13"/>
  <c r="AJ13" i="13" s="1"/>
  <c r="D50" i="14"/>
  <c r="G50" i="14"/>
  <c r="AN50" i="13"/>
  <c r="S50" i="13"/>
  <c r="D50" i="4"/>
  <c r="S50" i="3"/>
  <c r="AN50" i="3"/>
  <c r="G50" i="4"/>
  <c r="G24" i="14"/>
  <c r="D24" i="14"/>
  <c r="S24" i="13"/>
  <c r="D24" i="4"/>
  <c r="G24" i="4"/>
  <c r="S24" i="3"/>
  <c r="G31" i="13"/>
  <c r="I31" i="13" s="1"/>
  <c r="G31" i="3"/>
  <c r="H31" i="13"/>
  <c r="H31" i="3"/>
  <c r="F27" i="12" s="1"/>
  <c r="N33" i="6"/>
  <c r="N33" i="5"/>
  <c r="P30" i="4"/>
  <c r="G100" i="11"/>
  <c r="E101" i="11"/>
  <c r="G101" i="11" s="1"/>
  <c r="AG28" i="13"/>
  <c r="AB20" i="13"/>
  <c r="AB20" i="3"/>
  <c r="O33" i="6"/>
  <c r="O33" i="5"/>
  <c r="T38" i="12"/>
  <c r="V38" i="12" s="1"/>
  <c r="X39" i="3"/>
  <c r="AI28" i="13"/>
  <c r="AJ28" i="13" s="1"/>
  <c r="AI28" i="3"/>
  <c r="AG24" i="12" s="1"/>
  <c r="AF29" i="13"/>
  <c r="AF29" i="3"/>
  <c r="AD25" i="12" s="1"/>
  <c r="H29" i="14"/>
  <c r="E29" i="14"/>
  <c r="T29" i="13"/>
  <c r="H29" i="4"/>
  <c r="E29" i="4"/>
  <c r="T29" i="3"/>
  <c r="R25" i="12" s="1"/>
  <c r="Q24" i="12"/>
  <c r="S24" i="12" s="1"/>
  <c r="U28" i="3"/>
  <c r="N31" i="6"/>
  <c r="P28" i="4"/>
  <c r="N31" i="5"/>
  <c r="O31" i="5"/>
  <c r="O31" i="6"/>
  <c r="D26" i="5"/>
  <c r="D26" i="6"/>
  <c r="L29" i="12"/>
  <c r="L10" i="12"/>
  <c r="T19" i="12"/>
  <c r="V19" i="12" s="1"/>
  <c r="X23" i="3"/>
  <c r="AJ8" i="12"/>
  <c r="AL13" i="3"/>
  <c r="L8" i="12"/>
  <c r="N13" i="3"/>
  <c r="O42" i="6"/>
  <c r="O42" i="5"/>
  <c r="O25" i="5"/>
  <c r="O25" i="6"/>
  <c r="AL50" i="13"/>
  <c r="AL50" i="3"/>
  <c r="AJ43" i="12" s="1"/>
  <c r="AL26" i="13"/>
  <c r="AL25" i="13" s="1"/>
  <c r="AL24" i="13"/>
  <c r="AM24" i="13" s="1"/>
  <c r="AL26" i="3"/>
  <c r="AL24" i="3"/>
  <c r="AJ20" i="12" s="1"/>
  <c r="AI21" i="13"/>
  <c r="AJ21" i="13" s="1"/>
  <c r="AI21" i="3"/>
  <c r="AG17" i="12" s="1"/>
  <c r="AF43" i="13"/>
  <c r="AF43" i="3"/>
  <c r="AF22" i="13"/>
  <c r="AG22" i="13" s="1"/>
  <c r="AF22" i="3"/>
  <c r="AD18" i="12" s="1"/>
  <c r="Z20" i="13"/>
  <c r="Z19" i="13" s="1"/>
  <c r="Z18" i="13" s="1"/>
  <c r="Z20" i="3"/>
  <c r="AA20" i="3" s="1"/>
  <c r="W38" i="13"/>
  <c r="W37" i="13" s="1"/>
  <c r="W33" i="13" s="1"/>
  <c r="W38" i="3"/>
  <c r="T39" i="13"/>
  <c r="U39" i="13" s="1"/>
  <c r="T39" i="3"/>
  <c r="R38" i="12" s="1"/>
  <c r="H14" i="14"/>
  <c r="E14" i="14"/>
  <c r="T14" i="13"/>
  <c r="E14" i="4"/>
  <c r="H14" i="4"/>
  <c r="T14" i="3"/>
  <c r="N29" i="13"/>
  <c r="N29" i="3"/>
  <c r="L25" i="12" s="1"/>
  <c r="K35" i="13"/>
  <c r="K34" i="13" s="1"/>
  <c r="K33" i="13" s="1"/>
  <c r="K35" i="3"/>
  <c r="H36" i="13"/>
  <c r="H36" i="3"/>
  <c r="F35" i="12" s="1"/>
  <c r="H27" i="13"/>
  <c r="I27" i="13" s="1"/>
  <c r="H27" i="3"/>
  <c r="F23" i="12" s="1"/>
  <c r="AH29" i="13"/>
  <c r="AH29" i="3"/>
  <c r="AE21" i="13"/>
  <c r="AE21" i="3"/>
  <c r="AB43" i="13"/>
  <c r="AB43" i="3"/>
  <c r="AB22" i="13"/>
  <c r="AD22" i="13" s="1"/>
  <c r="AB22" i="3"/>
  <c r="V20" i="13"/>
  <c r="V20" i="3"/>
  <c r="S42" i="13"/>
  <c r="S42" i="3"/>
  <c r="J31" i="13"/>
  <c r="J31" i="3"/>
  <c r="G38" i="13"/>
  <c r="G38" i="3"/>
  <c r="G11" i="13"/>
  <c r="G11" i="3"/>
  <c r="W31" i="13"/>
  <c r="W31" i="3"/>
  <c r="U27" i="12" s="1"/>
  <c r="E26" i="14"/>
  <c r="H26" i="14"/>
  <c r="H26" i="4"/>
  <c r="E26" i="4"/>
  <c r="N38" i="6"/>
  <c r="N34" i="4"/>
  <c r="N38" i="5"/>
  <c r="P35" i="4"/>
  <c r="N32" i="5"/>
  <c r="N32" i="6"/>
  <c r="P29" i="4"/>
  <c r="G110" i="11"/>
  <c r="E111" i="11"/>
  <c r="G111" i="11" s="1"/>
  <c r="AE50" i="13"/>
  <c r="AE50" i="3"/>
  <c r="AE24" i="13"/>
  <c r="AE24" i="3"/>
  <c r="AB21" i="13"/>
  <c r="AB21" i="3"/>
  <c r="AJ37" i="12"/>
  <c r="AJ36" i="12" s="1"/>
  <c r="AL37" i="3"/>
  <c r="AC23" i="13"/>
  <c r="AD23" i="13" s="1"/>
  <c r="AC23" i="3"/>
  <c r="AA19" i="12" s="1"/>
  <c r="AC21" i="13"/>
  <c r="AC21" i="3"/>
  <c r="AA17" i="12" s="1"/>
  <c r="AC39" i="13"/>
  <c r="AC39" i="3"/>
  <c r="AA38" i="12" s="1"/>
  <c r="H23" i="14"/>
  <c r="I23" i="14" s="1"/>
  <c r="Q22" i="13"/>
  <c r="Q19" i="13" s="1"/>
  <c r="Q22" i="3"/>
  <c r="O18" i="12" s="1"/>
  <c r="Q15" i="13"/>
  <c r="Q15" i="3"/>
  <c r="O9" i="12" s="1"/>
  <c r="Q30" i="13"/>
  <c r="R30" i="13" s="1"/>
  <c r="Q30" i="3"/>
  <c r="O26" i="12" s="1"/>
  <c r="Q38" i="13"/>
  <c r="Q38" i="3"/>
  <c r="AG51" i="2"/>
  <c r="E27" i="13"/>
  <c r="E27" i="3"/>
  <c r="O51" i="2"/>
  <c r="H51" i="2"/>
  <c r="X51" i="2"/>
  <c r="N51" i="2"/>
  <c r="V51" i="2"/>
  <c r="E39" i="13"/>
  <c r="E39" i="3"/>
  <c r="S51" i="2"/>
  <c r="N45" i="6"/>
  <c r="N45" i="5"/>
  <c r="P42" i="4"/>
  <c r="N41" i="4"/>
  <c r="P27" i="4"/>
  <c r="N30" i="5"/>
  <c r="N30" i="6"/>
  <c r="N17" i="6"/>
  <c r="N17" i="5"/>
  <c r="P14" i="4"/>
  <c r="AK15" i="13"/>
  <c r="AM15" i="13" s="1"/>
  <c r="AK15" i="3"/>
  <c r="AK30" i="13"/>
  <c r="AM30" i="13" s="1"/>
  <c r="AK30" i="3"/>
  <c r="AK21" i="13"/>
  <c r="AM21" i="13" s="1"/>
  <c r="AK21" i="3"/>
  <c r="AK14" i="13"/>
  <c r="AK14" i="3"/>
  <c r="AF37" i="12"/>
  <c r="AH37" i="3"/>
  <c r="AE15" i="3"/>
  <c r="AE13" i="3" s="1"/>
  <c r="Y22" i="13"/>
  <c r="AA22" i="13" s="1"/>
  <c r="Y22" i="3"/>
  <c r="Y36" i="13"/>
  <c r="AA36" i="13" s="1"/>
  <c r="Y36" i="3"/>
  <c r="Y28" i="13"/>
  <c r="AA28" i="13" s="1"/>
  <c r="Y28" i="3"/>
  <c r="G80" i="11"/>
  <c r="Y35" i="13"/>
  <c r="Y35" i="3"/>
  <c r="V37" i="13"/>
  <c r="G15" i="4"/>
  <c r="M15" i="13"/>
  <c r="O15" i="13" s="1"/>
  <c r="M15" i="3"/>
  <c r="M30" i="13"/>
  <c r="O30" i="13" s="1"/>
  <c r="M30" i="3"/>
  <c r="M14" i="13"/>
  <c r="M14" i="3"/>
  <c r="M39" i="13"/>
  <c r="O39" i="13" s="1"/>
  <c r="M39" i="3"/>
  <c r="H37" i="12"/>
  <c r="L38" i="3"/>
  <c r="L37" i="3" s="1"/>
  <c r="J37" i="3"/>
  <c r="E19" i="12"/>
  <c r="G19" i="12" s="1"/>
  <c r="I23" i="3"/>
  <c r="E10" i="11"/>
  <c r="AF51" i="1"/>
  <c r="H29" i="12"/>
  <c r="H10" i="12"/>
  <c r="L43" i="3"/>
  <c r="AC26" i="13"/>
  <c r="AC24" i="13"/>
  <c r="AC26" i="3"/>
  <c r="AC24" i="3"/>
  <c r="AA20" i="12" s="1"/>
  <c r="I10" i="12"/>
  <c r="I29" i="12"/>
  <c r="AC51" i="2"/>
  <c r="E26" i="3"/>
  <c r="AI43" i="12"/>
  <c r="AF28" i="12"/>
  <c r="AH41" i="3"/>
  <c r="AC38" i="12"/>
  <c r="AC8" i="12"/>
  <c r="AG14" i="3"/>
  <c r="W20" i="12"/>
  <c r="X42" i="13"/>
  <c r="X41" i="13" s="1"/>
  <c r="V41" i="13"/>
  <c r="U22" i="13"/>
  <c r="D14" i="4"/>
  <c r="D14" i="14"/>
  <c r="O35" i="13"/>
  <c r="I39" i="13"/>
  <c r="G13" i="13"/>
  <c r="E51" i="1"/>
  <c r="G20" i="11"/>
  <c r="H22" i="12"/>
  <c r="L26" i="3"/>
  <c r="J25" i="3"/>
  <c r="AF15" i="3"/>
  <c r="AD9" i="12" s="1"/>
  <c r="E15" i="4"/>
  <c r="E15" i="14"/>
  <c r="Z26" i="12"/>
  <c r="AB26" i="12" s="1"/>
  <c r="AD30" i="3"/>
  <c r="W16" i="12"/>
  <c r="P15" i="3"/>
  <c r="L28" i="3"/>
  <c r="D49" i="13"/>
  <c r="AB51" i="1"/>
  <c r="D49" i="3"/>
  <c r="L39" i="13"/>
  <c r="D20" i="13"/>
  <c r="D20" i="3"/>
  <c r="I51" i="1"/>
  <c r="D27" i="13"/>
  <c r="D27" i="3"/>
  <c r="O51" i="1"/>
  <c r="D36" i="13"/>
  <c r="AE51" i="1"/>
  <c r="D36" i="3"/>
  <c r="D26" i="13"/>
  <c r="D26" i="3"/>
  <c r="N51" i="1"/>
  <c r="D35" i="13"/>
  <c r="D35" i="3"/>
  <c r="AD51" i="1"/>
  <c r="AF28" i="3"/>
  <c r="AD24" i="12" s="1"/>
  <c r="AC31" i="13"/>
  <c r="AC31" i="3"/>
  <c r="AA27" i="12" s="1"/>
  <c r="N34" i="13"/>
  <c r="N33" i="13" s="1"/>
  <c r="F34" i="12"/>
  <c r="AF34" i="12"/>
  <c r="AH34" i="3"/>
  <c r="AJ35" i="3"/>
  <c r="AJ34" i="3" s="1"/>
  <c r="AE36" i="3"/>
  <c r="AE34" i="3" s="1"/>
  <c r="T22" i="12"/>
  <c r="V25" i="3"/>
  <c r="D36" i="4"/>
  <c r="G42" i="4"/>
  <c r="Q23" i="12"/>
  <c r="G27" i="14"/>
  <c r="P29" i="13"/>
  <c r="R29" i="13" s="1"/>
  <c r="P29" i="3"/>
  <c r="P22" i="13"/>
  <c r="R22" i="13" s="1"/>
  <c r="P22" i="3"/>
  <c r="P43" i="13"/>
  <c r="R43" i="13" s="1"/>
  <c r="P43" i="3"/>
  <c r="P21" i="13"/>
  <c r="R21" i="13" s="1"/>
  <c r="P21" i="3"/>
  <c r="AM31" i="13"/>
  <c r="W27" i="12"/>
  <c r="E56" i="14"/>
  <c r="F56" i="14" s="1"/>
  <c r="H56" i="14"/>
  <c r="T55" i="13"/>
  <c r="E56" i="4"/>
  <c r="T55" i="3"/>
  <c r="U55" i="3" s="1"/>
  <c r="H56" i="4"/>
  <c r="K22" i="8"/>
  <c r="J22" i="8"/>
  <c r="Q54" i="13"/>
  <c r="Q54" i="3"/>
  <c r="M55" i="13"/>
  <c r="O55" i="13" s="1"/>
  <c r="B38" i="11"/>
  <c r="M55" i="3"/>
  <c r="O55" i="3" s="1"/>
  <c r="J25" i="7"/>
  <c r="K25" i="7"/>
  <c r="J29" i="8"/>
  <c r="E39" i="14" s="1"/>
  <c r="K29" i="8"/>
  <c r="E38" i="14" s="1"/>
  <c r="H56" i="13"/>
  <c r="AO56" i="13" s="1"/>
  <c r="H56" i="3"/>
  <c r="AO56" i="3" s="1"/>
  <c r="E54" i="13"/>
  <c r="E54" i="3"/>
  <c r="O37" i="7"/>
  <c r="J38" i="7" s="1"/>
  <c r="O38" i="7" s="1"/>
  <c r="J39" i="7" s="1"/>
  <c r="O39" i="7" s="1"/>
  <c r="J40" i="7" s="1"/>
  <c r="O40" i="7" s="1"/>
  <c r="J41" i="7" s="1"/>
  <c r="O41" i="7" s="1"/>
  <c r="J42" i="7" s="1"/>
  <c r="O42" i="7" s="1"/>
  <c r="G57" i="14"/>
  <c r="D57" i="14"/>
  <c r="S56" i="13"/>
  <c r="U56" i="13" s="1"/>
  <c r="B59" i="11"/>
  <c r="G57" i="4"/>
  <c r="S56" i="3"/>
  <c r="U56" i="3" s="1"/>
  <c r="D57" i="4"/>
  <c r="AK54" i="13"/>
  <c r="AM54" i="13" s="1"/>
  <c r="B117" i="11"/>
  <c r="AK54" i="3"/>
  <c r="AM54" i="3" s="1"/>
  <c r="G56" i="13"/>
  <c r="B19" i="11"/>
  <c r="G56" i="3"/>
  <c r="I56" i="3" s="1"/>
  <c r="D56" i="13"/>
  <c r="N17" i="7"/>
  <c r="B9" i="11"/>
  <c r="D56" i="3"/>
  <c r="J21" i="7"/>
  <c r="K21" i="7"/>
  <c r="P53" i="6"/>
  <c r="P53" i="5"/>
  <c r="U55" i="13"/>
  <c r="R56" i="13"/>
  <c r="K30" i="7"/>
  <c r="J30" i="7"/>
  <c r="P57" i="5"/>
  <c r="P57" i="6"/>
  <c r="AF29" i="12"/>
  <c r="AF10" i="12"/>
  <c r="AJ43" i="3"/>
  <c r="O39" i="5"/>
  <c r="O39" i="6"/>
  <c r="AI50" i="13"/>
  <c r="AI50" i="3"/>
  <c r="AG43" i="12" s="1"/>
  <c r="AI24" i="13"/>
  <c r="AI26" i="13"/>
  <c r="AI26" i="3"/>
  <c r="AI24" i="3"/>
  <c r="AG20" i="12" s="1"/>
  <c r="K31" i="13"/>
  <c r="K31" i="3"/>
  <c r="I27" i="12" s="1"/>
  <c r="H21" i="13"/>
  <c r="H21" i="3"/>
  <c r="F17" i="12" s="1"/>
  <c r="G20" i="14"/>
  <c r="D20" i="14"/>
  <c r="S20" i="13"/>
  <c r="D20" i="4"/>
  <c r="G20" i="4"/>
  <c r="S20" i="3"/>
  <c r="J15" i="13"/>
  <c r="L15" i="13" s="1"/>
  <c r="G29" i="13"/>
  <c r="G29" i="3"/>
  <c r="H29" i="13"/>
  <c r="H29" i="3"/>
  <c r="F25" i="12" s="1"/>
  <c r="AF23" i="12"/>
  <c r="AH23" i="12" s="1"/>
  <c r="AJ27" i="3"/>
  <c r="AB31" i="13"/>
  <c r="AD31" i="13" s="1"/>
  <c r="AB31" i="3"/>
  <c r="O27" i="5"/>
  <c r="O27" i="6"/>
  <c r="AJ29" i="12"/>
  <c r="AJ10" i="12"/>
  <c r="O34" i="6"/>
  <c r="O34" i="5"/>
  <c r="AI23" i="13"/>
  <c r="AJ23" i="13" s="1"/>
  <c r="AI23" i="3"/>
  <c r="AG19" i="12" s="1"/>
  <c r="AF50" i="13"/>
  <c r="AF50" i="3"/>
  <c r="AD43" i="12" s="1"/>
  <c r="AF26" i="13"/>
  <c r="AF25" i="13" s="1"/>
  <c r="AF24" i="13"/>
  <c r="AF26" i="3"/>
  <c r="AF24" i="3"/>
  <c r="AD20" i="12" s="1"/>
  <c r="H50" i="14"/>
  <c r="E50" i="14"/>
  <c r="AO50" i="13"/>
  <c r="T50" i="13"/>
  <c r="H50" i="4"/>
  <c r="E50" i="4"/>
  <c r="T50" i="3"/>
  <c r="R43" i="12" s="1"/>
  <c r="AO50" i="3"/>
  <c r="H24" i="14"/>
  <c r="E24" i="14"/>
  <c r="T26" i="13"/>
  <c r="T24" i="13"/>
  <c r="H24" i="4"/>
  <c r="E24" i="4"/>
  <c r="T26" i="3"/>
  <c r="T24" i="3"/>
  <c r="R20" i="12" s="1"/>
  <c r="AE15" i="13"/>
  <c r="AG15" i="13" s="1"/>
  <c r="T23" i="12"/>
  <c r="V23" i="12" s="1"/>
  <c r="X27" i="3"/>
  <c r="O19" i="4"/>
  <c r="N24" i="5"/>
  <c r="N24" i="6"/>
  <c r="P21" i="4"/>
  <c r="AF8" i="12"/>
  <c r="AH8" i="12" s="1"/>
  <c r="AJ14" i="3"/>
  <c r="AH13" i="3"/>
  <c r="O46" i="6"/>
  <c r="O46" i="5"/>
  <c r="AL20" i="13"/>
  <c r="AL19" i="13" s="1"/>
  <c r="AL18" i="13" s="1"/>
  <c r="AL20" i="3"/>
  <c r="AM20" i="3" s="1"/>
  <c r="AI42" i="13"/>
  <c r="AI41" i="13" s="1"/>
  <c r="AI42" i="3"/>
  <c r="Z31" i="13"/>
  <c r="Z31" i="3"/>
  <c r="X27" i="12" s="1"/>
  <c r="H36" i="14"/>
  <c r="I36" i="14" s="1"/>
  <c r="E36" i="14"/>
  <c r="T36" i="13"/>
  <c r="U36" i="13" s="1"/>
  <c r="H36" i="4"/>
  <c r="E36" i="4"/>
  <c r="T36" i="3"/>
  <c r="R35" i="12" s="1"/>
  <c r="H27" i="14"/>
  <c r="E27" i="14"/>
  <c r="T27" i="13"/>
  <c r="U27" i="13" s="1"/>
  <c r="H27" i="4"/>
  <c r="E27" i="4"/>
  <c r="T27" i="3"/>
  <c r="R23" i="12" s="1"/>
  <c r="N50" i="13"/>
  <c r="O50" i="13" s="1"/>
  <c r="N50" i="3"/>
  <c r="L43" i="12" s="1"/>
  <c r="N26" i="13"/>
  <c r="N25" i="13" s="1"/>
  <c r="N24" i="13"/>
  <c r="O24" i="13" s="1"/>
  <c r="N24" i="3"/>
  <c r="L20" i="12" s="1"/>
  <c r="N26" i="3"/>
  <c r="K21" i="13"/>
  <c r="L21" i="13" s="1"/>
  <c r="K21" i="3"/>
  <c r="I17" i="12" s="1"/>
  <c r="H43" i="13"/>
  <c r="H43" i="3"/>
  <c r="I43" i="3" s="1"/>
  <c r="H22" i="13"/>
  <c r="I22" i="13" s="1"/>
  <c r="H22" i="3"/>
  <c r="F18" i="12" s="1"/>
  <c r="N41" i="6"/>
  <c r="N41" i="5"/>
  <c r="P38" i="4"/>
  <c r="N37" i="4"/>
  <c r="AH50" i="13"/>
  <c r="AH50" i="3"/>
  <c r="AH24" i="13"/>
  <c r="AJ24" i="13" s="1"/>
  <c r="AH24" i="3"/>
  <c r="AE42" i="13"/>
  <c r="AE42" i="3"/>
  <c r="V31" i="13"/>
  <c r="X31" i="13" s="1"/>
  <c r="V31" i="3"/>
  <c r="D38" i="14"/>
  <c r="G38" i="14"/>
  <c r="S38" i="13"/>
  <c r="S38" i="3"/>
  <c r="J29" i="13"/>
  <c r="L29" i="13" s="1"/>
  <c r="J29" i="3"/>
  <c r="G35" i="13"/>
  <c r="G35" i="3"/>
  <c r="G26" i="13"/>
  <c r="G26" i="3"/>
  <c r="AF21" i="13"/>
  <c r="AF21" i="3"/>
  <c r="AD17" i="12" s="1"/>
  <c r="W29" i="13"/>
  <c r="W29" i="3"/>
  <c r="U25" i="12" s="1"/>
  <c r="E35" i="14"/>
  <c r="H35" i="14"/>
  <c r="T35" i="13"/>
  <c r="T34" i="13" s="1"/>
  <c r="E35" i="4"/>
  <c r="H35" i="4"/>
  <c r="T35" i="3"/>
  <c r="T42" i="13"/>
  <c r="T42" i="3"/>
  <c r="N34" i="14"/>
  <c r="N33" i="14" s="1"/>
  <c r="P35" i="14"/>
  <c r="P34" i="14" s="1"/>
  <c r="P29" i="14"/>
  <c r="AE20" i="13"/>
  <c r="AE20" i="3"/>
  <c r="AC29" i="13"/>
  <c r="AC29" i="3"/>
  <c r="AA25" i="12" s="1"/>
  <c r="AC43" i="13"/>
  <c r="AC43" i="3"/>
  <c r="AC28" i="13"/>
  <c r="AC28" i="3"/>
  <c r="AA24" i="12" s="1"/>
  <c r="F90" i="11"/>
  <c r="F91" i="11" s="1"/>
  <c r="AC35" i="13"/>
  <c r="AC34" i="13" s="1"/>
  <c r="AC35" i="3"/>
  <c r="AC36" i="13"/>
  <c r="AC36" i="3"/>
  <c r="AA35" i="12" s="1"/>
  <c r="E23" i="4"/>
  <c r="Q27" i="13"/>
  <c r="Q25" i="13" s="1"/>
  <c r="Q27" i="3"/>
  <c r="O23" i="12" s="1"/>
  <c r="Q42" i="13"/>
  <c r="Q41" i="13" s="1"/>
  <c r="Q42" i="3"/>
  <c r="Q39" i="13"/>
  <c r="Q39" i="3"/>
  <c r="O38" i="12" s="1"/>
  <c r="E29" i="13"/>
  <c r="E29" i="3"/>
  <c r="Q51" i="2"/>
  <c r="W51" i="2"/>
  <c r="E23" i="13"/>
  <c r="E23" i="3"/>
  <c r="L51" i="2"/>
  <c r="E49" i="13"/>
  <c r="E48" i="13" s="1"/>
  <c r="E49" i="3"/>
  <c r="AB51" i="2"/>
  <c r="E42" i="13"/>
  <c r="E42" i="3"/>
  <c r="F51" i="2"/>
  <c r="Z51" i="2"/>
  <c r="E43" i="13"/>
  <c r="E43" i="3"/>
  <c r="AA51" i="2"/>
  <c r="P42" i="14"/>
  <c r="P41" i="14" s="1"/>
  <c r="N41" i="14"/>
  <c r="P27" i="14"/>
  <c r="P14" i="14"/>
  <c r="AK27" i="13"/>
  <c r="AM27" i="13" s="1"/>
  <c r="AK27" i="3"/>
  <c r="AK42" i="13"/>
  <c r="AK42" i="3"/>
  <c r="AK26" i="13"/>
  <c r="AK26" i="3"/>
  <c r="AK22" i="13"/>
  <c r="AM22" i="13" s="1"/>
  <c r="AK22" i="3"/>
  <c r="AJ38" i="13"/>
  <c r="AJ37" i="13" s="1"/>
  <c r="AH37" i="13"/>
  <c r="Y27" i="13"/>
  <c r="AA27" i="13" s="1"/>
  <c r="Y27" i="3"/>
  <c r="Y15" i="13"/>
  <c r="AA15" i="13" s="1"/>
  <c r="Y15" i="3"/>
  <c r="Y30" i="13"/>
  <c r="AA30" i="13" s="1"/>
  <c r="Y30" i="3"/>
  <c r="Y42" i="13"/>
  <c r="Y42" i="3"/>
  <c r="G50" i="11"/>
  <c r="L38" i="13"/>
  <c r="L37" i="13" s="1"/>
  <c r="J37" i="13"/>
  <c r="I23" i="13"/>
  <c r="X51" i="1"/>
  <c r="G43" i="13"/>
  <c r="X28" i="12"/>
  <c r="Z41" i="3"/>
  <c r="U8" i="12"/>
  <c r="W13" i="3"/>
  <c r="C20" i="12"/>
  <c r="AM50" i="13"/>
  <c r="AH41" i="13"/>
  <c r="AG39" i="13"/>
  <c r="AA24" i="13"/>
  <c r="G43" i="14"/>
  <c r="I43" i="14" s="1"/>
  <c r="Q18" i="12"/>
  <c r="U22" i="3"/>
  <c r="D22" i="14"/>
  <c r="F22" i="14" s="1"/>
  <c r="G14" i="4"/>
  <c r="N43" i="12"/>
  <c r="P43" i="12" s="1"/>
  <c r="R50" i="3"/>
  <c r="N20" i="12"/>
  <c r="P20" i="12" s="1"/>
  <c r="R24" i="3"/>
  <c r="K22" i="12"/>
  <c r="O26" i="3"/>
  <c r="H28" i="12"/>
  <c r="J41" i="3"/>
  <c r="L42" i="3"/>
  <c r="E18" i="12"/>
  <c r="G18" i="12" s="1"/>
  <c r="I22" i="3"/>
  <c r="D50" i="13"/>
  <c r="F50" i="13" s="1"/>
  <c r="D50" i="3"/>
  <c r="AC51" i="1"/>
  <c r="N26" i="12"/>
  <c r="K20" i="12"/>
  <c r="O24" i="3"/>
  <c r="H23" i="12"/>
  <c r="J23" i="12" s="1"/>
  <c r="L27" i="3"/>
  <c r="L26" i="13"/>
  <c r="L25" i="13" s="1"/>
  <c r="J25" i="13"/>
  <c r="H30" i="14"/>
  <c r="I30" i="14" s="1"/>
  <c r="H15" i="4"/>
  <c r="O16" i="12"/>
  <c r="AI16" i="12"/>
  <c r="AD30" i="13"/>
  <c r="AA20" i="13"/>
  <c r="Y19" i="13"/>
  <c r="P15" i="13"/>
  <c r="R15" i="13" s="1"/>
  <c r="J24" i="12"/>
  <c r="D30" i="13"/>
  <c r="D30" i="3"/>
  <c r="T51" i="1"/>
  <c r="AG51" i="1"/>
  <c r="D14" i="13"/>
  <c r="D14" i="3"/>
  <c r="C51" i="1"/>
  <c r="D39" i="13"/>
  <c r="S51" i="1"/>
  <c r="D39" i="3"/>
  <c r="D11" i="13"/>
  <c r="D11" i="3"/>
  <c r="D38" i="13"/>
  <c r="D38" i="3"/>
  <c r="R51" i="1"/>
  <c r="AJ34" i="12"/>
  <c r="AJ33" i="12" s="1"/>
  <c r="AJ32" i="12" s="1"/>
  <c r="AL34" i="3"/>
  <c r="AL33" i="3" s="1"/>
  <c r="H28" i="4"/>
  <c r="H28" i="14"/>
  <c r="H34" i="13"/>
  <c r="AH34" i="13"/>
  <c r="AH33" i="13" s="1"/>
  <c r="AJ35" i="13"/>
  <c r="AJ34" i="13" s="1"/>
  <c r="X26" i="13"/>
  <c r="X25" i="13" s="1"/>
  <c r="V25" i="13"/>
  <c r="G27" i="4"/>
  <c r="D27" i="14"/>
  <c r="F27" i="14" s="1"/>
  <c r="P20" i="13"/>
  <c r="P20" i="3"/>
  <c r="P27" i="13"/>
  <c r="P27" i="3"/>
  <c r="P36" i="13"/>
  <c r="R36" i="13" s="1"/>
  <c r="P36" i="3"/>
  <c r="P26" i="13"/>
  <c r="P26" i="3"/>
  <c r="P35" i="13"/>
  <c r="P35" i="3"/>
  <c r="H34" i="12"/>
  <c r="L35" i="3"/>
  <c r="U51" i="2"/>
  <c r="AA31" i="13"/>
  <c r="F57" i="14" l="1"/>
  <c r="AE38" i="12"/>
  <c r="X38" i="13"/>
  <c r="X37" i="13" s="1"/>
  <c r="Q34" i="13"/>
  <c r="X10" i="12"/>
  <c r="X29" i="12"/>
  <c r="O15" i="12"/>
  <c r="G38" i="4"/>
  <c r="I57" i="14"/>
  <c r="AD54" i="3"/>
  <c r="Z33" i="13"/>
  <c r="AJ42" i="13"/>
  <c r="AJ41" i="13" s="1"/>
  <c r="R21" i="3"/>
  <c r="AH33" i="3"/>
  <c r="AM29" i="13"/>
  <c r="E41" i="14"/>
  <c r="AA54" i="13"/>
  <c r="M34" i="13"/>
  <c r="AD15" i="13"/>
  <c r="G39" i="14"/>
  <c r="W19" i="13"/>
  <c r="W18" i="13" s="1"/>
  <c r="AJ31" i="13"/>
  <c r="D45" i="6"/>
  <c r="N41" i="13"/>
  <c r="T41" i="13"/>
  <c r="AL17" i="13"/>
  <c r="O34" i="13"/>
  <c r="O54" i="13"/>
  <c r="S18" i="12"/>
  <c r="AG14" i="13"/>
  <c r="AO43" i="13"/>
  <c r="E37" i="14"/>
  <c r="AG39" i="3"/>
  <c r="H13" i="14"/>
  <c r="N33" i="3"/>
  <c r="I55" i="3"/>
  <c r="AG27" i="3"/>
  <c r="X32" i="12"/>
  <c r="F43" i="14"/>
  <c r="H41" i="14"/>
  <c r="E34" i="14"/>
  <c r="I22" i="14"/>
  <c r="D25" i="5"/>
  <c r="L41" i="3"/>
  <c r="D41" i="4"/>
  <c r="D44" i="5" s="1"/>
  <c r="D46" i="6"/>
  <c r="Q19" i="3"/>
  <c r="I29" i="13"/>
  <c r="J33" i="7"/>
  <c r="S23" i="12"/>
  <c r="I14" i="13"/>
  <c r="G39" i="4"/>
  <c r="G42" i="6" s="1"/>
  <c r="Y20" i="12"/>
  <c r="AK43" i="12"/>
  <c r="AH17" i="12"/>
  <c r="N18" i="14"/>
  <c r="N17" i="14" s="1"/>
  <c r="AO20" i="3"/>
  <c r="K20" i="4" s="1"/>
  <c r="D31" i="6"/>
  <c r="Z33" i="3"/>
  <c r="V17" i="12"/>
  <c r="AC13" i="13"/>
  <c r="B20" i="11"/>
  <c r="N15" i="14"/>
  <c r="R30" i="3"/>
  <c r="AI25" i="13"/>
  <c r="H34" i="3"/>
  <c r="AJ29" i="13"/>
  <c r="T13" i="13"/>
  <c r="I27" i="3"/>
  <c r="S38" i="12"/>
  <c r="AO24" i="13"/>
  <c r="F28" i="4"/>
  <c r="F31" i="6" s="1"/>
  <c r="L13" i="3"/>
  <c r="AO26" i="13"/>
  <c r="I24" i="13"/>
  <c r="N55" i="14"/>
  <c r="P55" i="14" s="1"/>
  <c r="I28" i="14"/>
  <c r="P26" i="12"/>
  <c r="D39" i="4"/>
  <c r="D42" i="6" s="1"/>
  <c r="AE13" i="13"/>
  <c r="AO23" i="13"/>
  <c r="AJ50" i="13"/>
  <c r="F33" i="12"/>
  <c r="AA24" i="3"/>
  <c r="AM50" i="3"/>
  <c r="AK19" i="3"/>
  <c r="AC19" i="13"/>
  <c r="AO31" i="13"/>
  <c r="AF34" i="13"/>
  <c r="P19" i="14"/>
  <c r="X50" i="13"/>
  <c r="X21" i="3"/>
  <c r="Y19" i="3"/>
  <c r="F15" i="14"/>
  <c r="AB41" i="13"/>
  <c r="U15" i="13"/>
  <c r="G31" i="6"/>
  <c r="I13" i="13"/>
  <c r="J33" i="3"/>
  <c r="AA19" i="13"/>
  <c r="AG13" i="13"/>
  <c r="F33" i="6"/>
  <c r="F33" i="5"/>
  <c r="Q18" i="13"/>
  <c r="Q17" i="13" s="1"/>
  <c r="F39" i="13"/>
  <c r="AN39" i="13"/>
  <c r="E41" i="13"/>
  <c r="AO42" i="13"/>
  <c r="AO41" i="13" s="1"/>
  <c r="E39" i="6"/>
  <c r="E39" i="5"/>
  <c r="R22" i="12"/>
  <c r="R21" i="12" s="1"/>
  <c r="T25" i="3"/>
  <c r="R35" i="13"/>
  <c r="R34" i="13" s="1"/>
  <c r="P34" i="13"/>
  <c r="R20" i="13"/>
  <c r="R19" i="13" s="1"/>
  <c r="P19" i="13"/>
  <c r="AN11" i="13"/>
  <c r="F11" i="13"/>
  <c r="M20" i="12"/>
  <c r="B43" i="12"/>
  <c r="D43" i="12" s="1"/>
  <c r="F50" i="3"/>
  <c r="Q29" i="12"/>
  <c r="Q10" i="12"/>
  <c r="U43" i="3"/>
  <c r="AO24" i="3"/>
  <c r="W26" i="12"/>
  <c r="Y26" i="12" s="1"/>
  <c r="AA30" i="3"/>
  <c r="W23" i="12"/>
  <c r="Y23" i="12" s="1"/>
  <c r="AA27" i="3"/>
  <c r="AI18" i="12"/>
  <c r="AK18" i="12" s="1"/>
  <c r="AM22" i="3"/>
  <c r="AI28" i="12"/>
  <c r="AK28" i="12" s="1"/>
  <c r="AM42" i="3"/>
  <c r="AK41" i="3"/>
  <c r="C19" i="12"/>
  <c r="AO23" i="3"/>
  <c r="C25" i="12"/>
  <c r="AO29" i="3"/>
  <c r="O28" i="12"/>
  <c r="Q41" i="3"/>
  <c r="E26" i="6"/>
  <c r="E26" i="5"/>
  <c r="AC16" i="12"/>
  <c r="AG20" i="3"/>
  <c r="AE19" i="3"/>
  <c r="R34" i="12"/>
  <c r="R33" i="12" s="1"/>
  <c r="T34" i="3"/>
  <c r="H34" i="14"/>
  <c r="E34" i="12"/>
  <c r="I35" i="3"/>
  <c r="G34" i="3"/>
  <c r="G41" i="6"/>
  <c r="G41" i="5"/>
  <c r="T27" i="12"/>
  <c r="V27" i="12" s="1"/>
  <c r="X31" i="3"/>
  <c r="AF20" i="12"/>
  <c r="AH20" i="12" s="1"/>
  <c r="AJ24" i="3"/>
  <c r="N40" i="6"/>
  <c r="N40" i="5"/>
  <c r="H39" i="6"/>
  <c r="H39" i="5"/>
  <c r="AJ16" i="12"/>
  <c r="AJ15" i="12" s="1"/>
  <c r="AL19" i="3"/>
  <c r="E27" i="6"/>
  <c r="E27" i="5"/>
  <c r="E53" i="6"/>
  <c r="E53" i="5"/>
  <c r="Z27" i="12"/>
  <c r="AB27" i="12" s="1"/>
  <c r="AD31" i="3"/>
  <c r="U20" i="13"/>
  <c r="S19" i="13"/>
  <c r="AG22" i="12"/>
  <c r="AG21" i="12" s="1"/>
  <c r="AI25" i="3"/>
  <c r="AN56" i="3"/>
  <c r="F56" i="3"/>
  <c r="G60" i="6"/>
  <c r="G60" i="5"/>
  <c r="I57" i="4"/>
  <c r="K57" i="14"/>
  <c r="K57" i="4"/>
  <c r="E59" i="6"/>
  <c r="E59" i="5"/>
  <c r="AA31" i="3"/>
  <c r="G45" i="5"/>
  <c r="G45" i="6"/>
  <c r="G41" i="4"/>
  <c r="I42" i="4"/>
  <c r="T21" i="12"/>
  <c r="AF33" i="12"/>
  <c r="B34" i="12"/>
  <c r="D34" i="3"/>
  <c r="AN35" i="3"/>
  <c r="F35" i="3"/>
  <c r="F26" i="13"/>
  <c r="AN26" i="13"/>
  <c r="D25" i="13"/>
  <c r="B16" i="12"/>
  <c r="F20" i="3"/>
  <c r="D19" i="3"/>
  <c r="AN20" i="3"/>
  <c r="B42" i="12"/>
  <c r="F49" i="3"/>
  <c r="F48" i="3" s="1"/>
  <c r="D48" i="3"/>
  <c r="N9" i="12"/>
  <c r="P9" i="12" s="1"/>
  <c r="R15" i="3"/>
  <c r="E19" i="13"/>
  <c r="F14" i="14"/>
  <c r="F13" i="14" s="1"/>
  <c r="D13" i="14"/>
  <c r="AA22" i="12"/>
  <c r="AA21" i="12" s="1"/>
  <c r="AC25" i="3"/>
  <c r="J10" i="12"/>
  <c r="H36" i="12"/>
  <c r="M13" i="13"/>
  <c r="O14" i="13"/>
  <c r="O13" i="13" s="1"/>
  <c r="W34" i="12"/>
  <c r="Y34" i="3"/>
  <c r="AA35" i="3"/>
  <c r="W24" i="12"/>
  <c r="Y24" i="12" s="1"/>
  <c r="AA28" i="3"/>
  <c r="W18" i="12"/>
  <c r="Y18" i="12" s="1"/>
  <c r="AA22" i="3"/>
  <c r="AK13" i="13"/>
  <c r="AM14" i="13"/>
  <c r="AM13" i="13" s="1"/>
  <c r="N16" i="6"/>
  <c r="N16" i="5"/>
  <c r="N44" i="6"/>
  <c r="N44" i="5"/>
  <c r="C23" i="12"/>
  <c r="AO27" i="3"/>
  <c r="Q37" i="13"/>
  <c r="Q33" i="13" s="1"/>
  <c r="AG24" i="13"/>
  <c r="P38" i="6"/>
  <c r="P38" i="5"/>
  <c r="P34" i="4"/>
  <c r="E29" i="5"/>
  <c r="E29" i="6"/>
  <c r="E25" i="4"/>
  <c r="E37" i="12"/>
  <c r="G37" i="3"/>
  <c r="I38" i="3"/>
  <c r="I37" i="3" s="1"/>
  <c r="Q28" i="12"/>
  <c r="S41" i="3"/>
  <c r="U42" i="3"/>
  <c r="Z18" i="12"/>
  <c r="AB18" i="12" s="1"/>
  <c r="AD22" i="3"/>
  <c r="AC17" i="12"/>
  <c r="AE17" i="12" s="1"/>
  <c r="AG21" i="3"/>
  <c r="I34" i="12"/>
  <c r="I33" i="12" s="1"/>
  <c r="K34" i="3"/>
  <c r="R8" i="12"/>
  <c r="S8" i="12" s="1"/>
  <c r="T13" i="3"/>
  <c r="E13" i="14"/>
  <c r="E39" i="4"/>
  <c r="X16" i="12"/>
  <c r="X15" i="12" s="1"/>
  <c r="Z19" i="3"/>
  <c r="AD29" i="12"/>
  <c r="AD10" i="12"/>
  <c r="P31" i="6"/>
  <c r="P31" i="5"/>
  <c r="Z16" i="12"/>
  <c r="AD20" i="3"/>
  <c r="AB19" i="3"/>
  <c r="Q20" i="12"/>
  <c r="S20" i="12" s="1"/>
  <c r="U24" i="3"/>
  <c r="F24" i="14"/>
  <c r="Q43" i="12"/>
  <c r="S43" i="12" s="1"/>
  <c r="U50" i="3"/>
  <c r="I50" i="14"/>
  <c r="K19" i="13"/>
  <c r="K18" i="13" s="1"/>
  <c r="K17" i="13" s="1"/>
  <c r="AF41" i="13"/>
  <c r="E58" i="6"/>
  <c r="E58" i="5"/>
  <c r="D41" i="14"/>
  <c r="F42" i="14"/>
  <c r="F41" i="14" s="1"/>
  <c r="V33" i="13"/>
  <c r="AJ26" i="13"/>
  <c r="AJ25" i="13" s="1"/>
  <c r="B17" i="12"/>
  <c r="F21" i="3"/>
  <c r="AN21" i="3"/>
  <c r="AN43" i="13"/>
  <c r="AP43" i="13" s="1"/>
  <c r="F43" i="13"/>
  <c r="G23" i="12"/>
  <c r="L13" i="13"/>
  <c r="H35" i="12"/>
  <c r="J35" i="12" s="1"/>
  <c r="L36" i="3"/>
  <c r="L34" i="3" s="1"/>
  <c r="L33" i="3" s="1"/>
  <c r="B20" i="12"/>
  <c r="D20" i="12" s="1"/>
  <c r="F24" i="3"/>
  <c r="AN24" i="3"/>
  <c r="K23" i="12"/>
  <c r="M23" i="12" s="1"/>
  <c r="O27" i="3"/>
  <c r="W37" i="12"/>
  <c r="Y37" i="3"/>
  <c r="AA38" i="3"/>
  <c r="W19" i="12"/>
  <c r="Y19" i="12" s="1"/>
  <c r="AA23" i="3"/>
  <c r="W8" i="12"/>
  <c r="Y8" i="12" s="1"/>
  <c r="AA14" i="3"/>
  <c r="Y13" i="3"/>
  <c r="AI29" i="12"/>
  <c r="AK29" i="12" s="1"/>
  <c r="AI10" i="12"/>
  <c r="AK10" i="12" s="1"/>
  <c r="AM43" i="3"/>
  <c r="AI35" i="12"/>
  <c r="AK35" i="12" s="1"/>
  <c r="AM36" i="3"/>
  <c r="AO11" i="13"/>
  <c r="C18" i="12"/>
  <c r="AO22" i="3"/>
  <c r="O34" i="12"/>
  <c r="O33" i="12" s="1"/>
  <c r="Q34" i="3"/>
  <c r="Q13" i="13"/>
  <c r="AA28" i="12"/>
  <c r="AC41" i="3"/>
  <c r="Z22" i="12"/>
  <c r="AD26" i="3"/>
  <c r="AB25" i="3"/>
  <c r="AC25" i="12"/>
  <c r="AE25" i="12" s="1"/>
  <c r="AG29" i="3"/>
  <c r="H38" i="4"/>
  <c r="I38" i="4" s="1"/>
  <c r="H38" i="14"/>
  <c r="J19" i="13"/>
  <c r="J18" i="13" s="1"/>
  <c r="J17" i="13" s="1"/>
  <c r="L20" i="13"/>
  <c r="U21" i="13"/>
  <c r="AD27" i="13"/>
  <c r="AE25" i="13"/>
  <c r="AG26" i="13"/>
  <c r="AG25" i="13" s="1"/>
  <c r="K46" i="13"/>
  <c r="Z20" i="12"/>
  <c r="AB20" i="12" s="1"/>
  <c r="AD24" i="3"/>
  <c r="AG28" i="3"/>
  <c r="Q25" i="12"/>
  <c r="S25" i="12" s="1"/>
  <c r="U29" i="3"/>
  <c r="F29" i="14"/>
  <c r="P27" i="5"/>
  <c r="P27" i="6"/>
  <c r="AJ28" i="3"/>
  <c r="B10" i="11"/>
  <c r="R54" i="13"/>
  <c r="E60" i="6"/>
  <c r="E60" i="5"/>
  <c r="AO55" i="3"/>
  <c r="O38" i="13"/>
  <c r="O37" i="13" s="1"/>
  <c r="O33" i="13" s="1"/>
  <c r="M37" i="13"/>
  <c r="R14" i="13"/>
  <c r="R13" i="13" s="1"/>
  <c r="P13" i="13"/>
  <c r="AE23" i="12"/>
  <c r="J17" i="12"/>
  <c r="P19" i="12"/>
  <c r="AM20" i="13"/>
  <c r="AM19" i="13" s="1"/>
  <c r="AC19" i="3"/>
  <c r="I43" i="4"/>
  <c r="G46" i="6"/>
  <c r="G46" i="5"/>
  <c r="Y43" i="12"/>
  <c r="AM24" i="3"/>
  <c r="B24" i="12"/>
  <c r="AN28" i="3"/>
  <c r="F28" i="3"/>
  <c r="K18" i="12"/>
  <c r="M18" i="12" s="1"/>
  <c r="O22" i="3"/>
  <c r="K19" i="12"/>
  <c r="M19" i="12" s="1"/>
  <c r="O23" i="3"/>
  <c r="R28" i="3"/>
  <c r="Y25" i="13"/>
  <c r="AA26" i="13"/>
  <c r="AA25" i="13" s="1"/>
  <c r="C17" i="12"/>
  <c r="AO21" i="3"/>
  <c r="AO19" i="3" s="1"/>
  <c r="C24" i="12"/>
  <c r="AO28" i="3"/>
  <c r="C35" i="12"/>
  <c r="AO36" i="3"/>
  <c r="E13" i="13"/>
  <c r="AO14" i="13"/>
  <c r="AG31" i="13"/>
  <c r="F37" i="12"/>
  <c r="F36" i="12" s="1"/>
  <c r="H37" i="3"/>
  <c r="L24" i="13"/>
  <c r="G29" i="6"/>
  <c r="G29" i="5"/>
  <c r="G25" i="4"/>
  <c r="I26" i="4"/>
  <c r="I26" i="14"/>
  <c r="G25" i="14"/>
  <c r="U35" i="13"/>
  <c r="U34" i="13" s="1"/>
  <c r="S34" i="13"/>
  <c r="X29" i="13"/>
  <c r="AD39" i="13"/>
  <c r="AG38" i="13"/>
  <c r="AG37" i="13" s="1"/>
  <c r="AE37" i="13"/>
  <c r="AE33" i="13" s="1"/>
  <c r="P37" i="14"/>
  <c r="P33" i="14" s="1"/>
  <c r="N19" i="13"/>
  <c r="N18" i="13" s="1"/>
  <c r="N17" i="13" s="1"/>
  <c r="E46" i="6"/>
  <c r="E46" i="5"/>
  <c r="O16" i="6"/>
  <c r="O16" i="5"/>
  <c r="AJ23" i="3"/>
  <c r="T35" i="12"/>
  <c r="V35" i="12" s="1"/>
  <c r="X36" i="3"/>
  <c r="X34" i="3" s="1"/>
  <c r="H23" i="6"/>
  <c r="H23" i="5"/>
  <c r="H19" i="4"/>
  <c r="AD16" i="12"/>
  <c r="AD15" i="12" s="1"/>
  <c r="AF19" i="3"/>
  <c r="V29" i="12"/>
  <c r="I15" i="14"/>
  <c r="AD29" i="13"/>
  <c r="E43" i="12"/>
  <c r="G43" i="12" s="1"/>
  <c r="I50" i="3"/>
  <c r="D34" i="5"/>
  <c r="D34" i="6"/>
  <c r="F31" i="4"/>
  <c r="F7" i="12"/>
  <c r="AD37" i="12"/>
  <c r="AD36" i="12" s="1"/>
  <c r="AF37" i="3"/>
  <c r="AN55" i="13"/>
  <c r="F55" i="13"/>
  <c r="I54" i="3"/>
  <c r="G58" i="6"/>
  <c r="G58" i="5"/>
  <c r="I55" i="4"/>
  <c r="I55" i="14"/>
  <c r="I28" i="3"/>
  <c r="J8" i="8"/>
  <c r="K49" i="13"/>
  <c r="K48" i="13" s="1"/>
  <c r="K49" i="3"/>
  <c r="I36" i="3"/>
  <c r="N58" i="6"/>
  <c r="P55" i="4"/>
  <c r="N58" i="5"/>
  <c r="N34" i="12"/>
  <c r="P34" i="3"/>
  <c r="R35" i="3"/>
  <c r="N35" i="12"/>
  <c r="P35" i="12" s="1"/>
  <c r="R36" i="3"/>
  <c r="N16" i="12"/>
  <c r="R20" i="3"/>
  <c r="P19" i="3"/>
  <c r="Y41" i="13"/>
  <c r="AA42" i="13"/>
  <c r="AA41" i="13" s="1"/>
  <c r="N22" i="12"/>
  <c r="R26" i="3"/>
  <c r="P25" i="3"/>
  <c r="N23" i="12"/>
  <c r="P23" i="12" s="1"/>
  <c r="R27" i="3"/>
  <c r="H31" i="6"/>
  <c r="H31" i="5"/>
  <c r="B37" i="12"/>
  <c r="AN38" i="3"/>
  <c r="D37" i="3"/>
  <c r="F38" i="3"/>
  <c r="B38" i="12"/>
  <c r="F39" i="3"/>
  <c r="AN39" i="3"/>
  <c r="B8" i="12"/>
  <c r="AN14" i="3"/>
  <c r="F14" i="3"/>
  <c r="D13" i="3"/>
  <c r="B26" i="12"/>
  <c r="AN30" i="3"/>
  <c r="F30" i="3"/>
  <c r="Y18" i="13"/>
  <c r="Y17" i="13" s="1"/>
  <c r="H18" i="5"/>
  <c r="H18" i="6"/>
  <c r="AK41" i="13"/>
  <c r="AM42" i="13"/>
  <c r="AM41" i="13" s="1"/>
  <c r="C42" i="12"/>
  <c r="C41" i="12" s="1"/>
  <c r="E48" i="3"/>
  <c r="AO29" i="13"/>
  <c r="AA34" i="12"/>
  <c r="AA33" i="12" s="1"/>
  <c r="AC34" i="3"/>
  <c r="AG20" i="13"/>
  <c r="AE19" i="13"/>
  <c r="AE18" i="13" s="1"/>
  <c r="AE17" i="13" s="1"/>
  <c r="H38" i="6"/>
  <c r="H38" i="5"/>
  <c r="H34" i="4"/>
  <c r="E33" i="14"/>
  <c r="I35" i="13"/>
  <c r="G34" i="13"/>
  <c r="S37" i="13"/>
  <c r="U38" i="13"/>
  <c r="U37" i="13" s="1"/>
  <c r="P41" i="6"/>
  <c r="P41" i="5"/>
  <c r="P37" i="4"/>
  <c r="E30" i="6"/>
  <c r="E30" i="5"/>
  <c r="H27" i="6"/>
  <c r="H27" i="5"/>
  <c r="H53" i="6"/>
  <c r="H53" i="5"/>
  <c r="Q16" i="12"/>
  <c r="U20" i="3"/>
  <c r="S19" i="3"/>
  <c r="D19" i="14"/>
  <c r="F20" i="14"/>
  <c r="J43" i="7"/>
  <c r="O43" i="7" s="1"/>
  <c r="J44" i="7" s="1"/>
  <c r="O44" i="7" s="1"/>
  <c r="J45" i="7" s="1"/>
  <c r="O45" i="7" s="1"/>
  <c r="J46" i="7" s="1"/>
  <c r="O46" i="7" s="1"/>
  <c r="J47" i="7" s="1"/>
  <c r="O47" i="7" s="1"/>
  <c r="J48" i="7" s="1"/>
  <c r="O48" i="7" s="1"/>
  <c r="Y27" i="12"/>
  <c r="N17" i="12"/>
  <c r="P17" i="12" s="1"/>
  <c r="N18" i="12"/>
  <c r="P18" i="12" s="1"/>
  <c r="R22" i="3"/>
  <c r="I27" i="14"/>
  <c r="D39" i="5"/>
  <c r="D39" i="6"/>
  <c r="F36" i="4"/>
  <c r="AC35" i="12"/>
  <c r="AE35" i="12" s="1"/>
  <c r="AG36" i="3"/>
  <c r="AG34" i="3" s="1"/>
  <c r="H33" i="3"/>
  <c r="F35" i="13"/>
  <c r="D34" i="13"/>
  <c r="AN35" i="13"/>
  <c r="B35" i="12"/>
  <c r="D35" i="12" s="1"/>
  <c r="F36" i="3"/>
  <c r="AN36" i="3"/>
  <c r="B23" i="12"/>
  <c r="D23" i="12" s="1"/>
  <c r="F27" i="3"/>
  <c r="AN27" i="3"/>
  <c r="F20" i="13"/>
  <c r="D19" i="13"/>
  <c r="AN20" i="13"/>
  <c r="D17" i="5"/>
  <c r="D17" i="6"/>
  <c r="D13" i="4"/>
  <c r="F14" i="4"/>
  <c r="J29" i="12"/>
  <c r="K38" i="12"/>
  <c r="M38" i="12" s="1"/>
  <c r="O39" i="3"/>
  <c r="K26" i="12"/>
  <c r="M26" i="12" s="1"/>
  <c r="O30" i="3"/>
  <c r="G18" i="5"/>
  <c r="G18" i="6"/>
  <c r="I15" i="4"/>
  <c r="AA35" i="13"/>
  <c r="AA34" i="13" s="1"/>
  <c r="Y34" i="13"/>
  <c r="AI17" i="12"/>
  <c r="AK17" i="12" s="1"/>
  <c r="AM21" i="3"/>
  <c r="AI26" i="12"/>
  <c r="AK26" i="12" s="1"/>
  <c r="AM30" i="3"/>
  <c r="P17" i="5"/>
  <c r="P17" i="6"/>
  <c r="P45" i="5"/>
  <c r="P45" i="6"/>
  <c r="P41" i="4"/>
  <c r="C38" i="12"/>
  <c r="AO39" i="3"/>
  <c r="AO27" i="13"/>
  <c r="Z17" i="12"/>
  <c r="AB17" i="12" s="1"/>
  <c r="AD21" i="3"/>
  <c r="AC43" i="12"/>
  <c r="AE43" i="12" s="1"/>
  <c r="AG50" i="3"/>
  <c r="P32" i="6"/>
  <c r="P32" i="5"/>
  <c r="H29" i="6"/>
  <c r="H29" i="5"/>
  <c r="H25" i="4"/>
  <c r="I38" i="13"/>
  <c r="I37" i="13" s="1"/>
  <c r="G37" i="13"/>
  <c r="S41" i="13"/>
  <c r="U42" i="13"/>
  <c r="U41" i="13" s="1"/>
  <c r="AG21" i="13"/>
  <c r="H17" i="5"/>
  <c r="H13" i="4"/>
  <c r="H17" i="6"/>
  <c r="Z17" i="13"/>
  <c r="AJ22" i="12"/>
  <c r="AJ21" i="12" s="1"/>
  <c r="AL25" i="3"/>
  <c r="AD20" i="13"/>
  <c r="AB19" i="13"/>
  <c r="P33" i="6"/>
  <c r="P33" i="5"/>
  <c r="G27" i="5"/>
  <c r="G27" i="6"/>
  <c r="I24" i="4"/>
  <c r="I24" i="14"/>
  <c r="D53" i="5"/>
  <c r="F50" i="4"/>
  <c r="D53" i="6"/>
  <c r="F50" i="14"/>
  <c r="N28" i="12"/>
  <c r="P28" i="12" s="1"/>
  <c r="P41" i="3"/>
  <c r="R42" i="3"/>
  <c r="F36" i="14"/>
  <c r="Z28" i="12"/>
  <c r="AB28" i="12" s="1"/>
  <c r="AD42" i="3"/>
  <c r="AB41" i="3"/>
  <c r="AG29" i="12"/>
  <c r="AH29" i="12" s="1"/>
  <c r="AG10" i="12"/>
  <c r="AH10" i="12" s="1"/>
  <c r="AN21" i="13"/>
  <c r="F21" i="13"/>
  <c r="B25" i="12"/>
  <c r="AN29" i="3"/>
  <c r="F29" i="3"/>
  <c r="AG34" i="13"/>
  <c r="AG33" i="13" s="1"/>
  <c r="B9" i="12"/>
  <c r="F15" i="3"/>
  <c r="AN15" i="3"/>
  <c r="O50" i="3"/>
  <c r="AN24" i="13"/>
  <c r="F24" i="13"/>
  <c r="G13" i="14"/>
  <c r="I14" i="14"/>
  <c r="I13" i="14" s="1"/>
  <c r="AG43" i="13"/>
  <c r="K16" i="12"/>
  <c r="M19" i="3"/>
  <c r="M18" i="3" s="1"/>
  <c r="M17" i="3" s="1"/>
  <c r="O20" i="3"/>
  <c r="AA38" i="13"/>
  <c r="AA37" i="13" s="1"/>
  <c r="Y37" i="13"/>
  <c r="Y13" i="13"/>
  <c r="AA14" i="13"/>
  <c r="AA13" i="13" s="1"/>
  <c r="C37" i="12"/>
  <c r="AO38" i="3"/>
  <c r="E37" i="3"/>
  <c r="C9" i="12"/>
  <c r="AO15" i="3"/>
  <c r="AO22" i="13"/>
  <c r="O29" i="12"/>
  <c r="O10" i="12"/>
  <c r="H26" i="5"/>
  <c r="H26" i="6"/>
  <c r="AC41" i="13"/>
  <c r="AD26" i="13"/>
  <c r="AB25" i="13"/>
  <c r="AG29" i="13"/>
  <c r="F28" i="12"/>
  <c r="H41" i="3"/>
  <c r="E38" i="4"/>
  <c r="F38" i="4" s="1"/>
  <c r="U16" i="12"/>
  <c r="U15" i="12" s="1"/>
  <c r="W19" i="3"/>
  <c r="E28" i="12"/>
  <c r="I42" i="3"/>
  <c r="I41" i="3" s="1"/>
  <c r="G41" i="3"/>
  <c r="Q17" i="12"/>
  <c r="S17" i="12" s="1"/>
  <c r="U21" i="3"/>
  <c r="I21" i="14"/>
  <c r="T43" i="12"/>
  <c r="V43" i="12" s="1"/>
  <c r="X50" i="3"/>
  <c r="Z35" i="12"/>
  <c r="AB35" i="12" s="1"/>
  <c r="AD36" i="3"/>
  <c r="AF27" i="12"/>
  <c r="AH27" i="12" s="1"/>
  <c r="AJ31" i="3"/>
  <c r="I37" i="12"/>
  <c r="I36" i="12" s="1"/>
  <c r="K37" i="3"/>
  <c r="E45" i="6"/>
  <c r="E45" i="5"/>
  <c r="E41" i="4"/>
  <c r="U28" i="12"/>
  <c r="V28" i="12" s="1"/>
  <c r="W41" i="3"/>
  <c r="AG34" i="12"/>
  <c r="AG33" i="12" s="1"/>
  <c r="AI34" i="3"/>
  <c r="N29" i="6"/>
  <c r="N29" i="5"/>
  <c r="P26" i="4"/>
  <c r="N25" i="4"/>
  <c r="N18" i="4" s="1"/>
  <c r="E34" i="5"/>
  <c r="E34" i="6"/>
  <c r="D18" i="6"/>
  <c r="D18" i="5"/>
  <c r="F15" i="4"/>
  <c r="AD24" i="13"/>
  <c r="AE24" i="12"/>
  <c r="G32" i="6"/>
  <c r="G32" i="5"/>
  <c r="I29" i="4"/>
  <c r="I29" i="14"/>
  <c r="AH24" i="12"/>
  <c r="D59" i="6"/>
  <c r="D59" i="5"/>
  <c r="F56" i="4"/>
  <c r="AG54" i="13"/>
  <c r="J57" i="6"/>
  <c r="L54" i="4"/>
  <c r="J57" i="5"/>
  <c r="AN54" i="13"/>
  <c r="F54" i="13"/>
  <c r="D57" i="13"/>
  <c r="I55" i="13"/>
  <c r="H60" i="6"/>
  <c r="H60" i="5"/>
  <c r="AO55" i="13"/>
  <c r="L35" i="13"/>
  <c r="L34" i="13" s="1"/>
  <c r="L33" i="13" s="1"/>
  <c r="N37" i="12"/>
  <c r="P37" i="3"/>
  <c r="R38" i="3"/>
  <c r="N38" i="12"/>
  <c r="P38" i="12" s="1"/>
  <c r="R39" i="3"/>
  <c r="G41" i="14"/>
  <c r="I42" i="14"/>
  <c r="I41" i="14" s="1"/>
  <c r="T33" i="12"/>
  <c r="V34" i="12"/>
  <c r="AF34" i="3"/>
  <c r="AF33" i="3" s="1"/>
  <c r="B19" i="12"/>
  <c r="D19" i="12" s="1"/>
  <c r="AN23" i="3"/>
  <c r="F23" i="3"/>
  <c r="O31" i="3"/>
  <c r="AA15" i="12"/>
  <c r="AA14" i="12" s="1"/>
  <c r="B27" i="12"/>
  <c r="D27" i="12" s="1"/>
  <c r="F31" i="3"/>
  <c r="AN31" i="3"/>
  <c r="G25" i="6"/>
  <c r="G25" i="5"/>
  <c r="I22" i="4"/>
  <c r="AG22" i="3"/>
  <c r="AK20" i="12"/>
  <c r="P24" i="12"/>
  <c r="W17" i="12"/>
  <c r="Y17" i="12" s="1"/>
  <c r="AA21" i="3"/>
  <c r="W25" i="12"/>
  <c r="Y25" i="12" s="1"/>
  <c r="AA29" i="3"/>
  <c r="AI37" i="12"/>
  <c r="AK37" i="3"/>
  <c r="AM38" i="3"/>
  <c r="AI19" i="12"/>
  <c r="AK19" i="12" s="1"/>
  <c r="AM23" i="3"/>
  <c r="P46" i="6"/>
  <c r="P46" i="5"/>
  <c r="C34" i="12"/>
  <c r="C33" i="12" s="1"/>
  <c r="AO35" i="3"/>
  <c r="E34" i="3"/>
  <c r="AO21" i="13"/>
  <c r="AO36" i="13"/>
  <c r="AA37" i="12"/>
  <c r="AA36" i="12" s="1"/>
  <c r="AC37" i="3"/>
  <c r="Z37" i="12"/>
  <c r="AD38" i="3"/>
  <c r="AB37" i="3"/>
  <c r="H37" i="13"/>
  <c r="H33" i="13" s="1"/>
  <c r="U22" i="12"/>
  <c r="U21" i="12" s="1"/>
  <c r="W25" i="3"/>
  <c r="E17" i="12"/>
  <c r="G17" i="12" s="1"/>
  <c r="I21" i="3"/>
  <c r="H43" i="12"/>
  <c r="J43" i="12" s="1"/>
  <c r="L50" i="3"/>
  <c r="D29" i="6"/>
  <c r="F26" i="4"/>
  <c r="D29" i="5"/>
  <c r="D25" i="4"/>
  <c r="Q34" i="12"/>
  <c r="U35" i="3"/>
  <c r="S34" i="3"/>
  <c r="D34" i="14"/>
  <c r="F35" i="14"/>
  <c r="Z8" i="12"/>
  <c r="AD14" i="3"/>
  <c r="AB13" i="3"/>
  <c r="AF16" i="12"/>
  <c r="AJ20" i="3"/>
  <c r="AH19" i="3"/>
  <c r="AH18" i="3" s="1"/>
  <c r="AH17" i="3" s="1"/>
  <c r="I28" i="12"/>
  <c r="J28" i="12" s="1"/>
  <c r="K41" i="3"/>
  <c r="E25" i="5"/>
  <c r="E25" i="6"/>
  <c r="H46" i="5"/>
  <c r="H46" i="6"/>
  <c r="AD8" i="12"/>
  <c r="AF13" i="3"/>
  <c r="AH19" i="12"/>
  <c r="T19" i="13"/>
  <c r="AF19" i="13"/>
  <c r="AF18" i="13" s="1"/>
  <c r="AF17" i="13" s="1"/>
  <c r="F22" i="12"/>
  <c r="F21" i="12" s="1"/>
  <c r="H25" i="3"/>
  <c r="I50" i="13"/>
  <c r="U31" i="13"/>
  <c r="AF37" i="13"/>
  <c r="AF33" i="13" s="1"/>
  <c r="O40" i="5"/>
  <c r="O40" i="6"/>
  <c r="AG56" i="3"/>
  <c r="F55" i="3"/>
  <c r="AN55" i="3"/>
  <c r="AA54" i="3"/>
  <c r="X54" i="13"/>
  <c r="R55" i="3"/>
  <c r="AA55" i="13"/>
  <c r="E25" i="13"/>
  <c r="G24" i="12"/>
  <c r="D44" i="6"/>
  <c r="G35" i="12"/>
  <c r="O28" i="6"/>
  <c r="O28" i="5"/>
  <c r="F43" i="4"/>
  <c r="AJ33" i="13"/>
  <c r="H33" i="12"/>
  <c r="J34" i="12"/>
  <c r="R26" i="13"/>
  <c r="P25" i="13"/>
  <c r="R27" i="13"/>
  <c r="G30" i="6"/>
  <c r="G30" i="5"/>
  <c r="I27" i="4"/>
  <c r="F38" i="13"/>
  <c r="F37" i="13" s="1"/>
  <c r="D37" i="13"/>
  <c r="AN38" i="13"/>
  <c r="F14" i="13"/>
  <c r="D13" i="13"/>
  <c r="AN14" i="13"/>
  <c r="F30" i="13"/>
  <c r="AN30" i="13"/>
  <c r="AK16" i="12"/>
  <c r="G17" i="6"/>
  <c r="I14" i="4"/>
  <c r="G17" i="5"/>
  <c r="G13" i="4"/>
  <c r="D42" i="5"/>
  <c r="I43" i="13"/>
  <c r="W28" i="12"/>
  <c r="Y28" i="12" s="1"/>
  <c r="AA42" i="3"/>
  <c r="Y41" i="3"/>
  <c r="W9" i="12"/>
  <c r="Y9" i="12" s="1"/>
  <c r="AA15" i="3"/>
  <c r="AI22" i="12"/>
  <c r="AK25" i="3"/>
  <c r="AK18" i="3" s="1"/>
  <c r="AK17" i="3" s="1"/>
  <c r="AM26" i="3"/>
  <c r="AI23" i="12"/>
  <c r="AK23" i="12" s="1"/>
  <c r="AM27" i="3"/>
  <c r="C29" i="12"/>
  <c r="C10" i="12"/>
  <c r="AO43" i="3"/>
  <c r="C28" i="12"/>
  <c r="AO42" i="3"/>
  <c r="E41" i="3"/>
  <c r="AA29" i="12"/>
  <c r="AA10" i="12"/>
  <c r="R28" i="12"/>
  <c r="T41" i="3"/>
  <c r="E38" i="6"/>
  <c r="E38" i="5"/>
  <c r="E34" i="4"/>
  <c r="E22" i="12"/>
  <c r="G25" i="3"/>
  <c r="I26" i="3"/>
  <c r="H25" i="12"/>
  <c r="J25" i="12" s="1"/>
  <c r="L29" i="3"/>
  <c r="D41" i="6"/>
  <c r="D41" i="5"/>
  <c r="D37" i="4"/>
  <c r="G37" i="14"/>
  <c r="I38" i="14"/>
  <c r="AC28" i="12"/>
  <c r="AE41" i="3"/>
  <c r="AG42" i="3"/>
  <c r="AF43" i="12"/>
  <c r="AH43" i="12" s="1"/>
  <c r="AJ50" i="3"/>
  <c r="F29" i="12"/>
  <c r="G29" i="12" s="1"/>
  <c r="F10" i="12"/>
  <c r="G10" i="12" s="1"/>
  <c r="L22" i="12"/>
  <c r="L21" i="12" s="1"/>
  <c r="N25" i="3"/>
  <c r="H30" i="5"/>
  <c r="H30" i="6"/>
  <c r="AG28" i="12"/>
  <c r="AH28" i="12" s="1"/>
  <c r="AI41" i="3"/>
  <c r="O22" i="6"/>
  <c r="O22" i="5"/>
  <c r="O18" i="4"/>
  <c r="K50" i="14"/>
  <c r="K50" i="4"/>
  <c r="E25" i="12"/>
  <c r="G25" i="12" s="1"/>
  <c r="I29" i="3"/>
  <c r="G23" i="5"/>
  <c r="G19" i="4"/>
  <c r="G23" i="6"/>
  <c r="I20" i="4"/>
  <c r="I20" i="14"/>
  <c r="G19" i="14"/>
  <c r="K33" i="7"/>
  <c r="I56" i="13"/>
  <c r="D60" i="6"/>
  <c r="D60" i="5"/>
  <c r="F57" i="4"/>
  <c r="AO54" i="3"/>
  <c r="E57" i="3"/>
  <c r="H53" i="3" s="1"/>
  <c r="H57" i="3" s="1"/>
  <c r="H59" i="6"/>
  <c r="H59" i="5"/>
  <c r="U27" i="3"/>
  <c r="X25" i="3"/>
  <c r="AJ33" i="3"/>
  <c r="F32" i="12"/>
  <c r="F27" i="13"/>
  <c r="AN27" i="13"/>
  <c r="F49" i="13"/>
  <c r="F48" i="13" s="1"/>
  <c r="D48" i="13"/>
  <c r="E18" i="6"/>
  <c r="E18" i="5"/>
  <c r="L25" i="3"/>
  <c r="M33" i="13"/>
  <c r="AJ42" i="3"/>
  <c r="AJ41" i="3" s="1"/>
  <c r="AC25" i="13"/>
  <c r="W35" i="12"/>
  <c r="Y35" i="12" s="1"/>
  <c r="AA36" i="3"/>
  <c r="AF36" i="12"/>
  <c r="AO39" i="13"/>
  <c r="AD21" i="13"/>
  <c r="AG50" i="13"/>
  <c r="N37" i="5"/>
  <c r="N33" i="4"/>
  <c r="N37" i="6"/>
  <c r="H25" i="14"/>
  <c r="E7" i="12"/>
  <c r="I11" i="3"/>
  <c r="H27" i="12"/>
  <c r="J27" i="12" s="1"/>
  <c r="L31" i="3"/>
  <c r="T16" i="12"/>
  <c r="X20" i="3"/>
  <c r="V19" i="3"/>
  <c r="V18" i="3" s="1"/>
  <c r="V17" i="3" s="1"/>
  <c r="Z29" i="12"/>
  <c r="Z10" i="12"/>
  <c r="AD43" i="3"/>
  <c r="AF25" i="12"/>
  <c r="AH25" i="12" s="1"/>
  <c r="AJ29" i="3"/>
  <c r="E13" i="4"/>
  <c r="E17" i="5"/>
  <c r="E17" i="6"/>
  <c r="H39" i="14"/>
  <c r="I39" i="14" s="1"/>
  <c r="U37" i="12"/>
  <c r="U36" i="12" s="1"/>
  <c r="U32" i="12" s="1"/>
  <c r="W37" i="3"/>
  <c r="W33" i="3" s="1"/>
  <c r="F23" i="4"/>
  <c r="E32" i="6"/>
  <c r="E32" i="5"/>
  <c r="E27" i="12"/>
  <c r="G27" i="12" s="1"/>
  <c r="I31" i="3"/>
  <c r="D27" i="6"/>
  <c r="D27" i="5"/>
  <c r="F24" i="4"/>
  <c r="I50" i="4"/>
  <c r="G53" i="6"/>
  <c r="G53" i="5"/>
  <c r="U50" i="13"/>
  <c r="H24" i="6"/>
  <c r="H24" i="5"/>
  <c r="R42" i="13"/>
  <c r="R41" i="13" s="1"/>
  <c r="P41" i="13"/>
  <c r="G39" i="5"/>
  <c r="G39" i="6"/>
  <c r="I36" i="4"/>
  <c r="B18" i="12"/>
  <c r="AN22" i="3"/>
  <c r="F22" i="3"/>
  <c r="AN29" i="13"/>
  <c r="AP29" i="13" s="1"/>
  <c r="F29" i="13"/>
  <c r="AJ21" i="3"/>
  <c r="M43" i="12"/>
  <c r="M34" i="12"/>
  <c r="U14" i="3"/>
  <c r="U13" i="3" s="1"/>
  <c r="U39" i="3"/>
  <c r="K35" i="12"/>
  <c r="M35" i="12" s="1"/>
  <c r="O36" i="3"/>
  <c r="O34" i="3" s="1"/>
  <c r="G40" i="11"/>
  <c r="E41" i="11"/>
  <c r="G41" i="11" s="1"/>
  <c r="O20" i="13"/>
  <c r="O19" i="13" s="1"/>
  <c r="M19" i="13"/>
  <c r="X38" i="3"/>
  <c r="X37" i="3" s="1"/>
  <c r="W29" i="12"/>
  <c r="Y29" i="12" s="1"/>
  <c r="W10" i="12"/>
  <c r="Y10" i="12" s="1"/>
  <c r="AA43" i="3"/>
  <c r="AD23" i="3"/>
  <c r="AI34" i="12"/>
  <c r="AK34" i="3"/>
  <c r="AM35" i="3"/>
  <c r="AI24" i="12"/>
  <c r="AK24" i="12" s="1"/>
  <c r="AM28" i="3"/>
  <c r="AI25" i="12"/>
  <c r="AK25" i="12" s="1"/>
  <c r="AM29" i="3"/>
  <c r="AO38" i="13"/>
  <c r="E37" i="13"/>
  <c r="C26" i="12"/>
  <c r="AO30" i="3"/>
  <c r="AO15" i="13"/>
  <c r="Z34" i="12"/>
  <c r="AB34" i="3"/>
  <c r="AB33" i="3" s="1"/>
  <c r="AD35" i="3"/>
  <c r="H41" i="13"/>
  <c r="T37" i="13"/>
  <c r="T33" i="13" s="1"/>
  <c r="W17" i="13"/>
  <c r="G41" i="13"/>
  <c r="I42" i="13"/>
  <c r="D24" i="6"/>
  <c r="D24" i="5"/>
  <c r="F21" i="4"/>
  <c r="F21" i="14"/>
  <c r="AD36" i="13"/>
  <c r="H45" i="6"/>
  <c r="H45" i="5"/>
  <c r="H41" i="4"/>
  <c r="F16" i="12"/>
  <c r="F15" i="12" s="1"/>
  <c r="F14" i="12" s="1"/>
  <c r="H19" i="3"/>
  <c r="H34" i="5"/>
  <c r="H34" i="6"/>
  <c r="Z43" i="12"/>
  <c r="AB43" i="12" s="1"/>
  <c r="AD50" i="3"/>
  <c r="E16" i="12"/>
  <c r="I20" i="3"/>
  <c r="G19" i="3"/>
  <c r="F29" i="4"/>
  <c r="D32" i="6"/>
  <c r="D32" i="5"/>
  <c r="X15" i="13"/>
  <c r="X13" i="13" s="1"/>
  <c r="V13" i="13"/>
  <c r="K57" i="6"/>
  <c r="K57" i="5"/>
  <c r="I56" i="14"/>
  <c r="F54" i="3"/>
  <c r="AN54" i="3"/>
  <c r="D57" i="3"/>
  <c r="F57" i="3" s="1"/>
  <c r="J7" i="7"/>
  <c r="G49" i="13"/>
  <c r="G49" i="3"/>
  <c r="K33" i="8"/>
  <c r="R54" i="3"/>
  <c r="J33" i="13"/>
  <c r="R38" i="13"/>
  <c r="P37" i="13"/>
  <c r="R39" i="13"/>
  <c r="Q35" i="12"/>
  <c r="S35" i="12" s="1"/>
  <c r="U36" i="3"/>
  <c r="AD28" i="13"/>
  <c r="AJ26" i="3"/>
  <c r="AJ25" i="3" s="1"/>
  <c r="E31" i="6"/>
  <c r="E31" i="5"/>
  <c r="AD33" i="12"/>
  <c r="AD32" i="12" s="1"/>
  <c r="B28" i="12"/>
  <c r="AN42" i="3"/>
  <c r="D41" i="3"/>
  <c r="F42" i="3"/>
  <c r="F23" i="13"/>
  <c r="AN23" i="13"/>
  <c r="AP23" i="13" s="1"/>
  <c r="M27" i="12"/>
  <c r="AE34" i="12"/>
  <c r="AC33" i="12"/>
  <c r="E19" i="3"/>
  <c r="AN31" i="13"/>
  <c r="AP31" i="13" s="1"/>
  <c r="F31" i="13"/>
  <c r="O26" i="13"/>
  <c r="O25" i="13" s="1"/>
  <c r="AE18" i="12"/>
  <c r="AI13" i="3"/>
  <c r="AN28" i="13"/>
  <c r="F28" i="13"/>
  <c r="K29" i="12"/>
  <c r="M29" i="12" s="1"/>
  <c r="K10" i="12"/>
  <c r="M10" i="12" s="1"/>
  <c r="O43" i="3"/>
  <c r="K25" i="12"/>
  <c r="M25" i="12" s="1"/>
  <c r="O29" i="3"/>
  <c r="AM38" i="13"/>
  <c r="AM37" i="13" s="1"/>
  <c r="AK37" i="13"/>
  <c r="P42" i="6"/>
  <c r="P42" i="5"/>
  <c r="E34" i="13"/>
  <c r="AO35" i="13"/>
  <c r="AO34" i="13" s="1"/>
  <c r="AO28" i="13"/>
  <c r="AC37" i="13"/>
  <c r="AC33" i="13" s="1"/>
  <c r="AD38" i="13"/>
  <c r="AD37" i="13" s="1"/>
  <c r="AB37" i="13"/>
  <c r="N22" i="6"/>
  <c r="N22" i="5"/>
  <c r="I21" i="13"/>
  <c r="L50" i="13"/>
  <c r="S25" i="13"/>
  <c r="U26" i="13"/>
  <c r="U25" i="13" s="1"/>
  <c r="D38" i="6"/>
  <c r="D38" i="5"/>
  <c r="D34" i="4"/>
  <c r="F35" i="4"/>
  <c r="I35" i="14"/>
  <c r="I34" i="14" s="1"/>
  <c r="G34" i="14"/>
  <c r="AD14" i="13"/>
  <c r="AD13" i="13" s="1"/>
  <c r="AB13" i="13"/>
  <c r="AH19" i="13"/>
  <c r="AH18" i="13" s="1"/>
  <c r="AH17" i="13" s="1"/>
  <c r="AJ20" i="13"/>
  <c r="AJ19" i="13" s="1"/>
  <c r="AJ18" i="13" s="1"/>
  <c r="AJ17" i="13" s="1"/>
  <c r="R16" i="12"/>
  <c r="R15" i="12" s="1"/>
  <c r="R14" i="12" s="1"/>
  <c r="T19" i="3"/>
  <c r="T18" i="3" s="1"/>
  <c r="T17" i="3" s="1"/>
  <c r="H19" i="14"/>
  <c r="O44" i="6"/>
  <c r="O44" i="5"/>
  <c r="E20" i="12"/>
  <c r="G20" i="12" s="1"/>
  <c r="I24" i="3"/>
  <c r="Q27" i="12"/>
  <c r="S27" i="12" s="1"/>
  <c r="U31" i="3"/>
  <c r="I31" i="14"/>
  <c r="AG16" i="12"/>
  <c r="AG15" i="12" s="1"/>
  <c r="AG14" i="12" s="1"/>
  <c r="AI19" i="3"/>
  <c r="AI18" i="3" s="1"/>
  <c r="AI17" i="3" s="1"/>
  <c r="D58" i="6"/>
  <c r="D58" i="5"/>
  <c r="F55" i="4"/>
  <c r="U54" i="13"/>
  <c r="N56" i="14"/>
  <c r="P56" i="14" s="1"/>
  <c r="N56" i="4"/>
  <c r="F27" i="4"/>
  <c r="AJ15" i="3"/>
  <c r="AJ13" i="3" s="1"/>
  <c r="G91" i="11"/>
  <c r="F42" i="12"/>
  <c r="F41" i="12" s="1"/>
  <c r="H48" i="3"/>
  <c r="O61" i="5"/>
  <c r="O61" i="6"/>
  <c r="O41" i="13"/>
  <c r="AD42" i="13"/>
  <c r="N18" i="6"/>
  <c r="N18" i="5"/>
  <c r="P15" i="4"/>
  <c r="P13" i="4" s="1"/>
  <c r="AD28" i="3"/>
  <c r="B7" i="12"/>
  <c r="F11" i="3"/>
  <c r="AN11" i="3"/>
  <c r="AK25" i="13"/>
  <c r="AM26" i="13"/>
  <c r="AM25" i="13" s="1"/>
  <c r="G25" i="13"/>
  <c r="I26" i="13"/>
  <c r="I25" i="13" s="1"/>
  <c r="Q37" i="12"/>
  <c r="S37" i="3"/>
  <c r="U38" i="3"/>
  <c r="F38" i="14"/>
  <c r="D37" i="14"/>
  <c r="AE41" i="13"/>
  <c r="AG42" i="13"/>
  <c r="P24" i="6"/>
  <c r="P24" i="5"/>
  <c r="I28" i="4"/>
  <c r="T25" i="13"/>
  <c r="AD22" i="12"/>
  <c r="AD21" i="12" s="1"/>
  <c r="AF25" i="3"/>
  <c r="F20" i="4"/>
  <c r="D19" i="4"/>
  <c r="D23" i="5"/>
  <c r="D23" i="6"/>
  <c r="AN56" i="13"/>
  <c r="AP56" i="13" s="1"/>
  <c r="F56" i="13"/>
  <c r="AO54" i="13"/>
  <c r="AO57" i="13" s="1"/>
  <c r="E57" i="13"/>
  <c r="N29" i="12"/>
  <c r="P29" i="12" s="1"/>
  <c r="N10" i="12"/>
  <c r="P10" i="12" s="1"/>
  <c r="R43" i="3"/>
  <c r="N25" i="12"/>
  <c r="P25" i="12" s="1"/>
  <c r="R29" i="3"/>
  <c r="B22" i="12"/>
  <c r="AN26" i="3"/>
  <c r="F26" i="3"/>
  <c r="D25" i="3"/>
  <c r="AN36" i="13"/>
  <c r="AP36" i="13" s="1"/>
  <c r="F36" i="13"/>
  <c r="Y16" i="12"/>
  <c r="AO20" i="13"/>
  <c r="H21" i="12"/>
  <c r="F39" i="14"/>
  <c r="AE8" i="12"/>
  <c r="C22" i="12"/>
  <c r="C21" i="12" s="1"/>
  <c r="AO26" i="3"/>
  <c r="E25" i="3"/>
  <c r="G10" i="11"/>
  <c r="E11" i="11"/>
  <c r="G11" i="11" s="1"/>
  <c r="K8" i="12"/>
  <c r="M8" i="12" s="1"/>
  <c r="O14" i="3"/>
  <c r="M13" i="3"/>
  <c r="K9" i="12"/>
  <c r="M9" i="12" s="1"/>
  <c r="O15" i="3"/>
  <c r="AC9" i="12"/>
  <c r="AE9" i="12" s="1"/>
  <c r="AG15" i="3"/>
  <c r="AG13" i="3" s="1"/>
  <c r="AI8" i="12"/>
  <c r="AK8" i="12" s="1"/>
  <c r="AM14" i="3"/>
  <c r="AK13" i="3"/>
  <c r="AI9" i="12"/>
  <c r="AK9" i="12" s="1"/>
  <c r="AM15" i="3"/>
  <c r="P30" i="5"/>
  <c r="P30" i="6"/>
  <c r="O37" i="12"/>
  <c r="O36" i="12" s="1"/>
  <c r="Q37" i="3"/>
  <c r="AC20" i="12"/>
  <c r="AE20" i="12" s="1"/>
  <c r="AG24" i="3"/>
  <c r="E25" i="14"/>
  <c r="G53" i="13"/>
  <c r="H53" i="13"/>
  <c r="H57" i="13" s="1"/>
  <c r="I11" i="13"/>
  <c r="L31" i="13"/>
  <c r="V19" i="13"/>
  <c r="V18" i="13" s="1"/>
  <c r="V17" i="13" s="1"/>
  <c r="X20" i="13"/>
  <c r="X19" i="13" s="1"/>
  <c r="X18" i="13" s="1"/>
  <c r="AD43" i="13"/>
  <c r="H39" i="4"/>
  <c r="H32" i="6"/>
  <c r="H32" i="5"/>
  <c r="U24" i="13"/>
  <c r="J50" i="14"/>
  <c r="L50" i="14" s="1"/>
  <c r="M50" i="14" s="1"/>
  <c r="J50" i="4"/>
  <c r="AP50" i="3"/>
  <c r="AP50" i="13"/>
  <c r="I16" i="12"/>
  <c r="I15" i="12" s="1"/>
  <c r="I14" i="12" s="1"/>
  <c r="I30" i="12" s="1"/>
  <c r="K19" i="3"/>
  <c r="E24" i="6"/>
  <c r="E24" i="5"/>
  <c r="AD28" i="12"/>
  <c r="AF41" i="3"/>
  <c r="H58" i="6"/>
  <c r="H58" i="5"/>
  <c r="K17" i="12"/>
  <c r="M17" i="12" s="1"/>
  <c r="O21" i="3"/>
  <c r="X33" i="13"/>
  <c r="B29" i="12"/>
  <c r="B10" i="12"/>
  <c r="AN43" i="3"/>
  <c r="F43" i="3"/>
  <c r="AN22" i="13"/>
  <c r="F22" i="13"/>
  <c r="E33" i="5"/>
  <c r="E33" i="6"/>
  <c r="J13" i="13"/>
  <c r="F15" i="13"/>
  <c r="AN15" i="13"/>
  <c r="AP15" i="13" s="1"/>
  <c r="K28" i="12"/>
  <c r="M28" i="12" s="1"/>
  <c r="O42" i="3"/>
  <c r="M41" i="3"/>
  <c r="K24" i="12"/>
  <c r="M24" i="12" s="1"/>
  <c r="O28" i="3"/>
  <c r="T36" i="12"/>
  <c r="V36" i="12" s="1"/>
  <c r="V37" i="12"/>
  <c r="AB19" i="12"/>
  <c r="AM35" i="13"/>
  <c r="AM34" i="13" s="1"/>
  <c r="AK34" i="13"/>
  <c r="AK33" i="13" s="1"/>
  <c r="C7" i="12"/>
  <c r="AO11" i="3"/>
  <c r="AO30" i="13"/>
  <c r="O8" i="12"/>
  <c r="Q13" i="3"/>
  <c r="AD35" i="13"/>
  <c r="AB34" i="13"/>
  <c r="R37" i="12"/>
  <c r="R36" i="12" s="1"/>
  <c r="T37" i="3"/>
  <c r="H16" i="12"/>
  <c r="L20" i="3"/>
  <c r="J19" i="3"/>
  <c r="J18" i="3" s="1"/>
  <c r="J17" i="3" s="1"/>
  <c r="I21" i="4"/>
  <c r="G24" i="5"/>
  <c r="G24" i="6"/>
  <c r="T20" i="12"/>
  <c r="V20" i="12" s="1"/>
  <c r="X24" i="3"/>
  <c r="Z23" i="12"/>
  <c r="AB23" i="12" s="1"/>
  <c r="AD27" i="3"/>
  <c r="AC22" i="12"/>
  <c r="AG26" i="3"/>
  <c r="AE25" i="3"/>
  <c r="F8" i="12"/>
  <c r="G8" i="12" s="1"/>
  <c r="H13" i="3"/>
  <c r="I7" i="12"/>
  <c r="I11" i="12" s="1"/>
  <c r="X22" i="12"/>
  <c r="X21" i="12" s="1"/>
  <c r="Z25" i="3"/>
  <c r="V8" i="12"/>
  <c r="H19" i="13"/>
  <c r="AG26" i="12"/>
  <c r="AH26" i="12" s="1"/>
  <c r="AJ30" i="3"/>
  <c r="O37" i="6"/>
  <c r="O33" i="4"/>
  <c r="O37" i="5"/>
  <c r="P39" i="6"/>
  <c r="P39" i="5"/>
  <c r="I26" i="6"/>
  <c r="I26" i="5"/>
  <c r="I33" i="5"/>
  <c r="I33" i="6"/>
  <c r="I20" i="13"/>
  <c r="G19" i="13"/>
  <c r="G18" i="13" s="1"/>
  <c r="G17" i="13" s="1"/>
  <c r="U29" i="13"/>
  <c r="I22" i="12"/>
  <c r="I21" i="12" s="1"/>
  <c r="K25" i="3"/>
  <c r="T9" i="12"/>
  <c r="V9" i="12" s="1"/>
  <c r="X15" i="3"/>
  <c r="X13" i="3" s="1"/>
  <c r="AG54" i="3"/>
  <c r="G59" i="5"/>
  <c r="G59" i="6"/>
  <c r="I56" i="4"/>
  <c r="L54" i="14"/>
  <c r="J33" i="8"/>
  <c r="AO31" i="3"/>
  <c r="K37" i="12"/>
  <c r="M37" i="3"/>
  <c r="M33" i="3" s="1"/>
  <c r="O38" i="3"/>
  <c r="O37" i="3" s="1"/>
  <c r="N8" i="12"/>
  <c r="P13" i="3"/>
  <c r="R14" i="3"/>
  <c r="R13" i="3" s="1"/>
  <c r="V33" i="3"/>
  <c r="AF21" i="12"/>
  <c r="AN42" i="13"/>
  <c r="F42" i="13"/>
  <c r="F41" i="13" s="1"/>
  <c r="D41" i="13"/>
  <c r="I36" i="13"/>
  <c r="L21" i="3"/>
  <c r="Z9" i="12"/>
  <c r="AB9" i="12" s="1"/>
  <c r="AD15" i="3"/>
  <c r="AK19" i="13"/>
  <c r="H33" i="6"/>
  <c r="H33" i="5"/>
  <c r="M25" i="13"/>
  <c r="U14" i="13"/>
  <c r="AA50" i="3"/>
  <c r="AC10" i="12"/>
  <c r="AE10" i="12" s="1"/>
  <c r="AC29" i="12"/>
  <c r="AE29" i="12" s="1"/>
  <c r="AG43" i="3"/>
  <c r="O22" i="12"/>
  <c r="O21" i="12" s="1"/>
  <c r="O14" i="12" s="1"/>
  <c r="O30" i="12" s="1"/>
  <c r="Q25" i="3"/>
  <c r="Q18" i="3" s="1"/>
  <c r="Q17" i="3" s="1"/>
  <c r="E9" i="12"/>
  <c r="G9" i="12" s="1"/>
  <c r="I15" i="3"/>
  <c r="I13" i="3" s="1"/>
  <c r="O29" i="13"/>
  <c r="W38" i="12"/>
  <c r="Y38" i="12" s="1"/>
  <c r="AA39" i="3"/>
  <c r="W22" i="12"/>
  <c r="AA26" i="3"/>
  <c r="AA25" i="3" s="1"/>
  <c r="Y25" i="3"/>
  <c r="Y18" i="3" s="1"/>
  <c r="Y17" i="3" s="1"/>
  <c r="AI38" i="12"/>
  <c r="AK38" i="12" s="1"/>
  <c r="AM39" i="3"/>
  <c r="P25" i="6"/>
  <c r="P25" i="5"/>
  <c r="C8" i="12"/>
  <c r="E13" i="3"/>
  <c r="AO14" i="3"/>
  <c r="AA8" i="12"/>
  <c r="AC13" i="3"/>
  <c r="AC27" i="12"/>
  <c r="AE27" i="12" s="1"/>
  <c r="AG31" i="3"/>
  <c r="P23" i="6"/>
  <c r="P23" i="5"/>
  <c r="P34" i="5"/>
  <c r="P34" i="6"/>
  <c r="H20" i="12"/>
  <c r="J20" i="12" s="1"/>
  <c r="L24" i="3"/>
  <c r="Q22" i="12"/>
  <c r="U26" i="3"/>
  <c r="S25" i="3"/>
  <c r="F26" i="14"/>
  <c r="F25" i="14" s="1"/>
  <c r="D25" i="14"/>
  <c r="G38" i="6"/>
  <c r="I35" i="4"/>
  <c r="G38" i="5"/>
  <c r="G34" i="4"/>
  <c r="T25" i="12"/>
  <c r="V25" i="12" s="1"/>
  <c r="X29" i="3"/>
  <c r="Z38" i="12"/>
  <c r="AB38" i="12" s="1"/>
  <c r="AD39" i="3"/>
  <c r="AC37" i="12"/>
  <c r="AE37" i="3"/>
  <c r="AE33" i="3" s="1"/>
  <c r="AG38" i="3"/>
  <c r="AG37" i="3" s="1"/>
  <c r="L16" i="12"/>
  <c r="L15" i="12" s="1"/>
  <c r="L14" i="12" s="1"/>
  <c r="L30" i="12" s="1"/>
  <c r="L39" i="12" s="1"/>
  <c r="N19" i="3"/>
  <c r="N18" i="3" s="1"/>
  <c r="N17" i="3" s="1"/>
  <c r="H25" i="6"/>
  <c r="H25" i="5"/>
  <c r="R29" i="12"/>
  <c r="R10" i="12"/>
  <c r="AG37" i="12"/>
  <c r="AG36" i="12" s="1"/>
  <c r="AI37" i="3"/>
  <c r="O26" i="6"/>
  <c r="O26" i="5"/>
  <c r="E23" i="6"/>
  <c r="E23" i="5"/>
  <c r="E19" i="4"/>
  <c r="E19" i="14"/>
  <c r="V10" i="12"/>
  <c r="Z25" i="12"/>
  <c r="AB25" i="12" s="1"/>
  <c r="AD29" i="3"/>
  <c r="N26" i="6"/>
  <c r="N26" i="5"/>
  <c r="P23" i="4"/>
  <c r="H25" i="13"/>
  <c r="G34" i="6"/>
  <c r="I31" i="4"/>
  <c r="G34" i="5"/>
  <c r="F31" i="14"/>
  <c r="AI19" i="13"/>
  <c r="AI18" i="13" s="1"/>
  <c r="AI17" i="13" s="1"/>
  <c r="AG56" i="13"/>
  <c r="X54" i="3"/>
  <c r="U54" i="3"/>
  <c r="F55" i="14"/>
  <c r="R55" i="13"/>
  <c r="AA55" i="3"/>
  <c r="AH9" i="12"/>
  <c r="G90" i="11"/>
  <c r="H48" i="13"/>
  <c r="P26" i="14"/>
  <c r="P25" i="14" s="1"/>
  <c r="P18" i="14" s="1"/>
  <c r="P17" i="14" s="1"/>
  <c r="M41" i="13"/>
  <c r="F42" i="4"/>
  <c r="AB24" i="12"/>
  <c r="F22" i="4"/>
  <c r="D10" i="12" l="1"/>
  <c r="R37" i="13"/>
  <c r="AA19" i="3"/>
  <c r="D29" i="12"/>
  <c r="F30" i="12"/>
  <c r="F39" i="12" s="1"/>
  <c r="AA18" i="13"/>
  <c r="AA17" i="13" s="1"/>
  <c r="U41" i="3"/>
  <c r="H18" i="14"/>
  <c r="H17" i="14" s="1"/>
  <c r="E33" i="13"/>
  <c r="AM34" i="3"/>
  <c r="AC18" i="13"/>
  <c r="AC17" i="13" s="1"/>
  <c r="E33" i="3"/>
  <c r="AP24" i="13"/>
  <c r="C15" i="12"/>
  <c r="F39" i="4"/>
  <c r="F37" i="4" s="1"/>
  <c r="G37" i="4"/>
  <c r="G33" i="4" s="1"/>
  <c r="F31" i="5"/>
  <c r="G42" i="5"/>
  <c r="E18" i="14"/>
  <c r="E17" i="14" s="1"/>
  <c r="AG41" i="13"/>
  <c r="O41" i="3"/>
  <c r="AH22" i="12"/>
  <c r="K18" i="3"/>
  <c r="K17" i="3" s="1"/>
  <c r="AO19" i="13"/>
  <c r="AO18" i="13" s="1"/>
  <c r="AO17" i="13" s="1"/>
  <c r="AP28" i="13"/>
  <c r="AK33" i="3"/>
  <c r="O18" i="13"/>
  <c r="O17" i="13" s="1"/>
  <c r="U14" i="12"/>
  <c r="K20" i="14"/>
  <c r="D38" i="12"/>
  <c r="AP22" i="13"/>
  <c r="E18" i="3"/>
  <c r="E17" i="3" s="1"/>
  <c r="E46" i="3" s="1"/>
  <c r="I41" i="13"/>
  <c r="D18" i="12"/>
  <c r="G18" i="14"/>
  <c r="G17" i="14" s="1"/>
  <c r="G28" i="12"/>
  <c r="C36" i="12"/>
  <c r="C32" i="12" s="1"/>
  <c r="D9" i="12"/>
  <c r="D18" i="13"/>
  <c r="D17" i="13" s="1"/>
  <c r="X33" i="3"/>
  <c r="AC18" i="3"/>
  <c r="AC17" i="3" s="1"/>
  <c r="U13" i="13"/>
  <c r="AK18" i="13"/>
  <c r="AK17" i="13" s="1"/>
  <c r="AH21" i="12"/>
  <c r="AM13" i="3"/>
  <c r="J21" i="12"/>
  <c r="U37" i="3"/>
  <c r="R30" i="12"/>
  <c r="AD34" i="3"/>
  <c r="D25" i="12"/>
  <c r="AO25" i="13"/>
  <c r="P15" i="14"/>
  <c r="P13" i="14" s="1"/>
  <c r="P46" i="14" s="1"/>
  <c r="N13" i="14"/>
  <c r="N46" i="14" s="1"/>
  <c r="N49" i="14" s="1"/>
  <c r="P49" i="14" s="1"/>
  <c r="P48" i="14" s="1"/>
  <c r="W15" i="12"/>
  <c r="Y15" i="12" s="1"/>
  <c r="AB33" i="13"/>
  <c r="U25" i="3"/>
  <c r="I19" i="13"/>
  <c r="I18" i="13" s="1"/>
  <c r="I17" i="13" s="1"/>
  <c r="AG25" i="3"/>
  <c r="O33" i="3"/>
  <c r="I25" i="3"/>
  <c r="F34" i="14"/>
  <c r="AG19" i="13"/>
  <c r="AG18" i="13" s="1"/>
  <c r="AG17" i="13" s="1"/>
  <c r="L19" i="3"/>
  <c r="L18" i="3" s="1"/>
  <c r="L17" i="3" s="1"/>
  <c r="X17" i="13"/>
  <c r="F25" i="3"/>
  <c r="AD41" i="13"/>
  <c r="G18" i="3"/>
  <c r="G17" i="3" s="1"/>
  <c r="P18" i="3"/>
  <c r="P17" i="3" s="1"/>
  <c r="AM41" i="3"/>
  <c r="I19" i="3"/>
  <c r="I18" i="3" s="1"/>
  <c r="I17" i="3" s="1"/>
  <c r="AM19" i="3"/>
  <c r="F13" i="3"/>
  <c r="O25" i="3"/>
  <c r="G33" i="3"/>
  <c r="R34" i="3"/>
  <c r="P16" i="6"/>
  <c r="P16" i="5"/>
  <c r="F41" i="6"/>
  <c r="F41" i="5"/>
  <c r="N21" i="5"/>
  <c r="N17" i="4"/>
  <c r="N21" i="6"/>
  <c r="I41" i="6"/>
  <c r="I41" i="5"/>
  <c r="C11" i="12"/>
  <c r="J43" i="14"/>
  <c r="J43" i="4"/>
  <c r="AP43" i="3"/>
  <c r="J53" i="6"/>
  <c r="L50" i="4"/>
  <c r="J53" i="5"/>
  <c r="K26" i="14"/>
  <c r="K26" i="4"/>
  <c r="AO25" i="3"/>
  <c r="AO18" i="3" s="1"/>
  <c r="AO17" i="3" s="1"/>
  <c r="G57" i="13"/>
  <c r="I57" i="13" s="1"/>
  <c r="I53" i="13"/>
  <c r="D37" i="6"/>
  <c r="D37" i="5"/>
  <c r="D33" i="4"/>
  <c r="J42" i="14"/>
  <c r="J42" i="4"/>
  <c r="AN41" i="3"/>
  <c r="AP42" i="3"/>
  <c r="E22" i="6"/>
  <c r="E22" i="5"/>
  <c r="E18" i="4"/>
  <c r="G37" i="6"/>
  <c r="G37" i="5"/>
  <c r="S22" i="12"/>
  <c r="Q21" i="12"/>
  <c r="S21" i="12" s="1"/>
  <c r="K14" i="14"/>
  <c r="K14" i="4"/>
  <c r="AO13" i="3"/>
  <c r="O36" i="5"/>
  <c r="O36" i="6"/>
  <c r="H18" i="13"/>
  <c r="H17" i="13" s="1"/>
  <c r="H46" i="13" s="1"/>
  <c r="J16" i="12"/>
  <c r="H15" i="12"/>
  <c r="AD34" i="13"/>
  <c r="AD33" i="13" s="1"/>
  <c r="K11" i="14"/>
  <c r="K11" i="4"/>
  <c r="AM33" i="13"/>
  <c r="J22" i="12"/>
  <c r="J26" i="14"/>
  <c r="J26" i="4"/>
  <c r="AP26" i="3"/>
  <c r="AN25" i="3"/>
  <c r="F37" i="14"/>
  <c r="J11" i="14"/>
  <c r="J11" i="4"/>
  <c r="AP11" i="3"/>
  <c r="G33" i="14"/>
  <c r="AE33" i="12"/>
  <c r="D28" i="12"/>
  <c r="B26" i="11"/>
  <c r="B30" i="11" s="1"/>
  <c r="O7" i="7"/>
  <c r="J11" i="13"/>
  <c r="J11" i="3"/>
  <c r="G16" i="12"/>
  <c r="E15" i="12"/>
  <c r="H44" i="5"/>
  <c r="H44" i="6"/>
  <c r="AB34" i="12"/>
  <c r="Z33" i="12"/>
  <c r="AI33" i="12"/>
  <c r="AK34" i="12"/>
  <c r="K33" i="12"/>
  <c r="I39" i="6"/>
  <c r="I39" i="5"/>
  <c r="E16" i="5"/>
  <c r="E16" i="6"/>
  <c r="AB10" i="12"/>
  <c r="V16" i="12"/>
  <c r="T15" i="12"/>
  <c r="AH36" i="12"/>
  <c r="AP27" i="13"/>
  <c r="I19" i="14"/>
  <c r="AE28" i="12"/>
  <c r="E37" i="6"/>
  <c r="E37" i="5"/>
  <c r="AM25" i="3"/>
  <c r="AM18" i="3" s="1"/>
  <c r="AM17" i="3" s="1"/>
  <c r="G16" i="6"/>
  <c r="G16" i="5"/>
  <c r="AP30" i="13"/>
  <c r="F13" i="13"/>
  <c r="I30" i="6"/>
  <c r="I30" i="5"/>
  <c r="AD13" i="3"/>
  <c r="S33" i="3"/>
  <c r="AB37" i="12"/>
  <c r="Z36" i="12"/>
  <c r="AB36" i="12" s="1"/>
  <c r="AM37" i="3"/>
  <c r="AA30" i="12"/>
  <c r="J23" i="14"/>
  <c r="J23" i="4"/>
  <c r="AP23" i="3"/>
  <c r="T32" i="12"/>
  <c r="V32" i="12" s="1"/>
  <c r="V33" i="12"/>
  <c r="F59" i="5"/>
  <c r="F59" i="6"/>
  <c r="P29" i="6"/>
  <c r="P25" i="4"/>
  <c r="P29" i="5"/>
  <c r="AG32" i="12"/>
  <c r="W18" i="3"/>
  <c r="W17" i="3" s="1"/>
  <c r="O19" i="3"/>
  <c r="AP21" i="13"/>
  <c r="AD41" i="3"/>
  <c r="F53" i="6"/>
  <c r="F53" i="5"/>
  <c r="AB18" i="13"/>
  <c r="AB17" i="13" s="1"/>
  <c r="AA33" i="13"/>
  <c r="AP35" i="13"/>
  <c r="AP34" i="13" s="1"/>
  <c r="AN34" i="13"/>
  <c r="N58" i="4"/>
  <c r="D18" i="14"/>
  <c r="D17" i="14" s="1"/>
  <c r="G33" i="13"/>
  <c r="G46" i="13" s="1"/>
  <c r="AC33" i="3"/>
  <c r="K21" i="12"/>
  <c r="M21" i="12" s="1"/>
  <c r="D26" i="12"/>
  <c r="D8" i="12"/>
  <c r="F37" i="3"/>
  <c r="N15" i="12"/>
  <c r="P16" i="12"/>
  <c r="P33" i="3"/>
  <c r="O8" i="8"/>
  <c r="N11" i="3"/>
  <c r="N11" i="13"/>
  <c r="N46" i="13" s="1"/>
  <c r="AP55" i="13"/>
  <c r="F11" i="12"/>
  <c r="S33" i="13"/>
  <c r="I29" i="5"/>
  <c r="I25" i="4"/>
  <c r="I29" i="6"/>
  <c r="AO13" i="13"/>
  <c r="K28" i="14"/>
  <c r="K28" i="4"/>
  <c r="J28" i="14"/>
  <c r="J28" i="4"/>
  <c r="AP28" i="3"/>
  <c r="AM18" i="13"/>
  <c r="AM17" i="13" s="1"/>
  <c r="L19" i="13"/>
  <c r="L18" i="13" s="1"/>
  <c r="L17" i="13" s="1"/>
  <c r="AB22" i="12"/>
  <c r="Z21" i="12"/>
  <c r="AB21" i="12" s="1"/>
  <c r="Q33" i="3"/>
  <c r="AA13" i="3"/>
  <c r="AA37" i="3"/>
  <c r="J24" i="14"/>
  <c r="J24" i="4"/>
  <c r="AP24" i="3"/>
  <c r="Z18" i="3"/>
  <c r="Z17" i="3" s="1"/>
  <c r="Y33" i="3"/>
  <c r="J37" i="12"/>
  <c r="B41" i="12"/>
  <c r="D41" i="12" s="1"/>
  <c r="D42" i="12"/>
  <c r="B15" i="12"/>
  <c r="D16" i="12"/>
  <c r="F34" i="3"/>
  <c r="F33" i="3" s="1"/>
  <c r="AH34" i="12"/>
  <c r="I45" i="6"/>
  <c r="I41" i="4"/>
  <c r="I45" i="5"/>
  <c r="I34" i="3"/>
  <c r="I33" i="3" s="1"/>
  <c r="R32" i="12"/>
  <c r="R39" i="12" s="1"/>
  <c r="AE16" i="12"/>
  <c r="AC15" i="12"/>
  <c r="P18" i="13"/>
  <c r="P17" i="13" s="1"/>
  <c r="K36" i="12"/>
  <c r="M36" i="12" s="1"/>
  <c r="M37" i="12"/>
  <c r="F45" i="6"/>
  <c r="F41" i="4"/>
  <c r="F45" i="5"/>
  <c r="AE37" i="12"/>
  <c r="AC36" i="12"/>
  <c r="AE36" i="12" s="1"/>
  <c r="K31" i="14"/>
  <c r="K31" i="4"/>
  <c r="H42" i="5"/>
  <c r="H42" i="6"/>
  <c r="S37" i="12"/>
  <c r="Q36" i="12"/>
  <c r="S36" i="12" s="1"/>
  <c r="B11" i="12"/>
  <c r="D11" i="12" s="1"/>
  <c r="D7" i="12"/>
  <c r="F25" i="6"/>
  <c r="F25" i="5"/>
  <c r="P26" i="5"/>
  <c r="P26" i="6"/>
  <c r="P19" i="4"/>
  <c r="Y22" i="12"/>
  <c r="W21" i="12"/>
  <c r="Y21" i="12" s="1"/>
  <c r="C14" i="12"/>
  <c r="C30" i="12" s="1"/>
  <c r="AP42" i="13"/>
  <c r="AP41" i="13" s="1"/>
  <c r="AN41" i="13"/>
  <c r="I24" i="6"/>
  <c r="I24" i="5"/>
  <c r="O13" i="3"/>
  <c r="D22" i="12"/>
  <c r="B21" i="12"/>
  <c r="D21" i="12" s="1"/>
  <c r="D22" i="5"/>
  <c r="D18" i="4"/>
  <c r="D22" i="6"/>
  <c r="F30" i="6"/>
  <c r="F30" i="5"/>
  <c r="F58" i="6"/>
  <c r="F58" i="5"/>
  <c r="AG30" i="12"/>
  <c r="AG39" i="12" s="1"/>
  <c r="F41" i="3"/>
  <c r="F32" i="5"/>
  <c r="F32" i="6"/>
  <c r="H18" i="3"/>
  <c r="H17" i="3" s="1"/>
  <c r="H46" i="3" s="1"/>
  <c r="F24" i="5"/>
  <c r="F24" i="6"/>
  <c r="AO37" i="13"/>
  <c r="AO33" i="13" s="1"/>
  <c r="AB29" i="12"/>
  <c r="G53" i="3"/>
  <c r="K55" i="14"/>
  <c r="K55" i="4"/>
  <c r="AO57" i="3"/>
  <c r="I19" i="4"/>
  <c r="I23" i="5"/>
  <c r="I23" i="6"/>
  <c r="O21" i="6"/>
  <c r="O21" i="5"/>
  <c r="O17" i="4"/>
  <c r="I37" i="14"/>
  <c r="I33" i="14" s="1"/>
  <c r="K42" i="14"/>
  <c r="K42" i="4"/>
  <c r="AO41" i="3"/>
  <c r="AI15" i="12"/>
  <c r="AP38" i="13"/>
  <c r="AN37" i="13"/>
  <c r="R25" i="13"/>
  <c r="AJ19" i="3"/>
  <c r="AJ18" i="3" s="1"/>
  <c r="AJ17" i="3" s="1"/>
  <c r="AB8" i="12"/>
  <c r="U34" i="3"/>
  <c r="F25" i="4"/>
  <c r="F29" i="5"/>
  <c r="F29" i="6"/>
  <c r="J31" i="14"/>
  <c r="J31" i="4"/>
  <c r="AP31" i="3"/>
  <c r="AG33" i="3"/>
  <c r="R37" i="3"/>
  <c r="F57" i="13"/>
  <c r="L57" i="6"/>
  <c r="L57" i="5"/>
  <c r="I32" i="6"/>
  <c r="I32" i="5"/>
  <c r="U30" i="12"/>
  <c r="U39" i="12" s="1"/>
  <c r="J29" i="14"/>
  <c r="J29" i="4"/>
  <c r="AP29" i="3"/>
  <c r="AD19" i="13"/>
  <c r="H28" i="5"/>
  <c r="H28" i="6"/>
  <c r="P44" i="6"/>
  <c r="P44" i="5"/>
  <c r="I18" i="6"/>
  <c r="I18" i="5"/>
  <c r="F19" i="13"/>
  <c r="J36" i="14"/>
  <c r="J36" i="4"/>
  <c r="AP36" i="3"/>
  <c r="D33" i="13"/>
  <c r="N58" i="14"/>
  <c r="P58" i="14" s="1"/>
  <c r="S18" i="3"/>
  <c r="S17" i="3" s="1"/>
  <c r="I34" i="13"/>
  <c r="I33" i="13" s="1"/>
  <c r="AA32" i="12"/>
  <c r="M22" i="12"/>
  <c r="J39" i="14"/>
  <c r="J39" i="4"/>
  <c r="AP39" i="3"/>
  <c r="R25" i="3"/>
  <c r="P34" i="12"/>
  <c r="N33" i="12"/>
  <c r="F34" i="6"/>
  <c r="F34" i="5"/>
  <c r="AF18" i="3"/>
  <c r="AF17" i="3" s="1"/>
  <c r="U33" i="13"/>
  <c r="G28" i="6"/>
  <c r="G28" i="5"/>
  <c r="D24" i="12"/>
  <c r="K56" i="14"/>
  <c r="K56" i="4"/>
  <c r="O32" i="12"/>
  <c r="O39" i="12" s="1"/>
  <c r="D17" i="12"/>
  <c r="AB18" i="3"/>
  <c r="AB17" i="3" s="1"/>
  <c r="X14" i="12"/>
  <c r="X30" i="12" s="1"/>
  <c r="X39" i="12" s="1"/>
  <c r="G37" i="12"/>
  <c r="E36" i="12"/>
  <c r="G36" i="12" s="1"/>
  <c r="P37" i="6"/>
  <c r="P33" i="4"/>
  <c r="P37" i="5"/>
  <c r="W33" i="12"/>
  <c r="Y34" i="12"/>
  <c r="J36" i="12"/>
  <c r="J20" i="14"/>
  <c r="J20" i="4"/>
  <c r="AP20" i="3"/>
  <c r="AN19" i="3"/>
  <c r="J35" i="14"/>
  <c r="J35" i="4"/>
  <c r="AN34" i="3"/>
  <c r="AP35" i="3"/>
  <c r="AF32" i="12"/>
  <c r="AH32" i="12" s="1"/>
  <c r="AH33" i="12"/>
  <c r="G44" i="6"/>
  <c r="G44" i="5"/>
  <c r="I60" i="6"/>
  <c r="I60" i="5"/>
  <c r="J57" i="14"/>
  <c r="L57" i="14" s="1"/>
  <c r="J57" i="4"/>
  <c r="AP56" i="3"/>
  <c r="S18" i="13"/>
  <c r="S17" i="13" s="1"/>
  <c r="AL18" i="3"/>
  <c r="AL17" i="3" s="1"/>
  <c r="G34" i="12"/>
  <c r="E33" i="12"/>
  <c r="K29" i="14"/>
  <c r="K29" i="4"/>
  <c r="N48" i="14"/>
  <c r="S10" i="12"/>
  <c r="R18" i="13"/>
  <c r="R17" i="13" s="1"/>
  <c r="AP39" i="13"/>
  <c r="I38" i="5"/>
  <c r="I34" i="4"/>
  <c r="I38" i="6"/>
  <c r="F23" i="6"/>
  <c r="F23" i="5"/>
  <c r="F19" i="4"/>
  <c r="N59" i="6"/>
  <c r="P56" i="4"/>
  <c r="N59" i="5"/>
  <c r="F38" i="6"/>
  <c r="F34" i="4"/>
  <c r="F38" i="5"/>
  <c r="E42" i="12"/>
  <c r="I49" i="3"/>
  <c r="I48" i="3" s="1"/>
  <c r="G48" i="3"/>
  <c r="J55" i="14"/>
  <c r="L55" i="14" s="1"/>
  <c r="J55" i="4"/>
  <c r="AP54" i="3"/>
  <c r="AN57" i="3"/>
  <c r="K30" i="14"/>
  <c r="K30" i="4"/>
  <c r="AM33" i="3"/>
  <c r="M18" i="13"/>
  <c r="M17" i="13" s="1"/>
  <c r="J22" i="14"/>
  <c r="J22" i="4"/>
  <c r="AP22" i="3"/>
  <c r="I53" i="6"/>
  <c r="I53" i="5"/>
  <c r="F26" i="6"/>
  <c r="F26" i="5"/>
  <c r="N36" i="6"/>
  <c r="N36" i="5"/>
  <c r="F60" i="6"/>
  <c r="F60" i="5"/>
  <c r="AG41" i="3"/>
  <c r="AI21" i="12"/>
  <c r="AK21" i="12" s="1"/>
  <c r="AK22" i="12"/>
  <c r="AA41" i="3"/>
  <c r="I17" i="6"/>
  <c r="I17" i="5"/>
  <c r="I13" i="4"/>
  <c r="AP14" i="13"/>
  <c r="AP13" i="13" s="1"/>
  <c r="AN13" i="13"/>
  <c r="F46" i="6"/>
  <c r="F46" i="5"/>
  <c r="J56" i="14"/>
  <c r="L56" i="14" s="1"/>
  <c r="AP55" i="3"/>
  <c r="J56" i="4"/>
  <c r="T18" i="13"/>
  <c r="T17" i="13" s="1"/>
  <c r="AH16" i="12"/>
  <c r="AF15" i="12"/>
  <c r="S34" i="12"/>
  <c r="Q33" i="12"/>
  <c r="K35" i="14"/>
  <c r="K35" i="4"/>
  <c r="AO34" i="3"/>
  <c r="AI36" i="12"/>
  <c r="AK36" i="12" s="1"/>
  <c r="AK37" i="12"/>
  <c r="I25" i="5"/>
  <c r="I25" i="6"/>
  <c r="F18" i="6"/>
  <c r="F18" i="5"/>
  <c r="E41" i="5"/>
  <c r="E37" i="4"/>
  <c r="E41" i="6"/>
  <c r="K38" i="14"/>
  <c r="K38" i="4"/>
  <c r="AO37" i="3"/>
  <c r="M16" i="12"/>
  <c r="K15" i="12"/>
  <c r="H16" i="6"/>
  <c r="H16" i="5"/>
  <c r="F17" i="6"/>
  <c r="F17" i="5"/>
  <c r="F13" i="4"/>
  <c r="AA18" i="3"/>
  <c r="AA17" i="3" s="1"/>
  <c r="J27" i="14"/>
  <c r="J27" i="4"/>
  <c r="AP27" i="3"/>
  <c r="F34" i="13"/>
  <c r="F33" i="13" s="1"/>
  <c r="F39" i="6"/>
  <c r="F39" i="5"/>
  <c r="U19" i="3"/>
  <c r="U18" i="3" s="1"/>
  <c r="U17" i="3" s="1"/>
  <c r="J38" i="14"/>
  <c r="J38" i="4"/>
  <c r="AN37" i="3"/>
  <c r="AP38" i="3"/>
  <c r="AP37" i="3" s="1"/>
  <c r="P22" i="12"/>
  <c r="N21" i="12"/>
  <c r="P21" i="12" s="1"/>
  <c r="I42" i="12"/>
  <c r="I41" i="12" s="1"/>
  <c r="K48" i="3"/>
  <c r="AD14" i="12"/>
  <c r="AD30" i="12" s="1"/>
  <c r="AD39" i="12" s="1"/>
  <c r="K36" i="14"/>
  <c r="K36" i="4"/>
  <c r="K21" i="14"/>
  <c r="K21" i="4"/>
  <c r="I46" i="6"/>
  <c r="I46" i="5"/>
  <c r="H37" i="14"/>
  <c r="H33" i="14" s="1"/>
  <c r="K22" i="14"/>
  <c r="K22" i="4"/>
  <c r="W36" i="12"/>
  <c r="Y36" i="12" s="1"/>
  <c r="Y37" i="12"/>
  <c r="AD19" i="3"/>
  <c r="E42" i="5"/>
  <c r="E42" i="6"/>
  <c r="K33" i="3"/>
  <c r="K46" i="3" s="1"/>
  <c r="S28" i="12"/>
  <c r="E28" i="6"/>
  <c r="E28" i="5"/>
  <c r="K27" i="14"/>
  <c r="K27" i="4"/>
  <c r="D18" i="3"/>
  <c r="D17" i="3" s="1"/>
  <c r="AP26" i="13"/>
  <c r="AP25" i="13" s="1"/>
  <c r="AN25" i="13"/>
  <c r="D33" i="3"/>
  <c r="V21" i="12"/>
  <c r="U19" i="13"/>
  <c r="U18" i="13" s="1"/>
  <c r="U17" i="13" s="1"/>
  <c r="AJ14" i="12"/>
  <c r="AJ30" i="12" s="1"/>
  <c r="AJ39" i="12" s="1"/>
  <c r="AE18" i="3"/>
  <c r="AE17" i="3" s="1"/>
  <c r="S29" i="12"/>
  <c r="AP11" i="13"/>
  <c r="P33" i="13"/>
  <c r="I34" i="6"/>
  <c r="I34" i="5"/>
  <c r="I59" i="6"/>
  <c r="I59" i="5"/>
  <c r="AE22" i="12"/>
  <c r="AC21" i="12"/>
  <c r="AE21" i="12" s="1"/>
  <c r="I31" i="6"/>
  <c r="I31" i="5"/>
  <c r="P18" i="6"/>
  <c r="P18" i="5"/>
  <c r="P8" i="12"/>
  <c r="I49" i="13"/>
  <c r="I48" i="13" s="1"/>
  <c r="G48" i="13"/>
  <c r="F27" i="6"/>
  <c r="F27" i="5"/>
  <c r="X19" i="3"/>
  <c r="X18" i="3" s="1"/>
  <c r="X17" i="3" s="1"/>
  <c r="G7" i="12"/>
  <c r="E11" i="12"/>
  <c r="G11" i="12" s="1"/>
  <c r="AH37" i="12"/>
  <c r="G22" i="6"/>
  <c r="G22" i="5"/>
  <c r="G18" i="4"/>
  <c r="K53" i="5"/>
  <c r="K53" i="6"/>
  <c r="D40" i="6"/>
  <c r="D40" i="5"/>
  <c r="G22" i="12"/>
  <c r="E21" i="12"/>
  <c r="G21" i="12" s="1"/>
  <c r="K43" i="14"/>
  <c r="K43" i="4"/>
  <c r="F42" i="6"/>
  <c r="F42" i="5"/>
  <c r="H32" i="12"/>
  <c r="J33" i="12"/>
  <c r="D33" i="14"/>
  <c r="D28" i="6"/>
  <c r="D28" i="5"/>
  <c r="AD37" i="3"/>
  <c r="AD33" i="3" s="1"/>
  <c r="P37" i="12"/>
  <c r="N36" i="12"/>
  <c r="P36" i="12" s="1"/>
  <c r="AP54" i="13"/>
  <c r="AN57" i="13"/>
  <c r="AP57" i="13" s="1"/>
  <c r="N28" i="5"/>
  <c r="N28" i="6"/>
  <c r="AI33" i="3"/>
  <c r="E44" i="6"/>
  <c r="E44" i="5"/>
  <c r="AD25" i="13"/>
  <c r="K15" i="14"/>
  <c r="K15" i="4"/>
  <c r="J15" i="14"/>
  <c r="J15" i="4"/>
  <c r="AP15" i="3"/>
  <c r="R41" i="3"/>
  <c r="I27" i="6"/>
  <c r="I27" i="5"/>
  <c r="K39" i="14"/>
  <c r="K39" i="4"/>
  <c r="Y33" i="13"/>
  <c r="D16" i="6"/>
  <c r="D16" i="5"/>
  <c r="AP20" i="13"/>
  <c r="AN19" i="13"/>
  <c r="F19" i="14"/>
  <c r="F18" i="14" s="1"/>
  <c r="F17" i="14" s="1"/>
  <c r="S16" i="12"/>
  <c r="Q15" i="12"/>
  <c r="P40" i="6"/>
  <c r="P40" i="5"/>
  <c r="H37" i="6"/>
  <c r="H37" i="5"/>
  <c r="J30" i="14"/>
  <c r="AP30" i="3"/>
  <c r="J30" i="4"/>
  <c r="J14" i="14"/>
  <c r="J14" i="4"/>
  <c r="AN13" i="3"/>
  <c r="AP14" i="3"/>
  <c r="D37" i="12"/>
  <c r="B36" i="12"/>
  <c r="D36" i="12" s="1"/>
  <c r="R19" i="3"/>
  <c r="R18" i="3" s="1"/>
  <c r="R17" i="3" s="1"/>
  <c r="R33" i="3"/>
  <c r="P58" i="6"/>
  <c r="P58" i="5"/>
  <c r="I58" i="6"/>
  <c r="I58" i="5"/>
  <c r="H22" i="5"/>
  <c r="H22" i="6"/>
  <c r="H18" i="4"/>
  <c r="I25" i="14"/>
  <c r="H41" i="6"/>
  <c r="H41" i="5"/>
  <c r="H37" i="4"/>
  <c r="AD25" i="3"/>
  <c r="J21" i="14"/>
  <c r="J21" i="4"/>
  <c r="AP21" i="3"/>
  <c r="Z15" i="12"/>
  <c r="AB16" i="12"/>
  <c r="I32" i="12"/>
  <c r="I39" i="12" s="1"/>
  <c r="AA34" i="3"/>
  <c r="AA33" i="3" s="1"/>
  <c r="I39" i="4"/>
  <c r="E18" i="13"/>
  <c r="E17" i="13" s="1"/>
  <c r="E46" i="13" s="1"/>
  <c r="F19" i="3"/>
  <c r="F25" i="13"/>
  <c r="D34" i="12"/>
  <c r="B33" i="12"/>
  <c r="V22" i="12"/>
  <c r="K60" i="5"/>
  <c r="K60" i="6"/>
  <c r="T33" i="3"/>
  <c r="AG19" i="3"/>
  <c r="AG18" i="3" s="1"/>
  <c r="AG17" i="3" s="1"/>
  <c r="K23" i="14"/>
  <c r="K23" i="4"/>
  <c r="K24" i="14"/>
  <c r="K24" i="4"/>
  <c r="R33" i="13"/>
  <c r="K23" i="5"/>
  <c r="K23" i="6"/>
  <c r="L22" i="14" l="1"/>
  <c r="M22" i="14" s="1"/>
  <c r="G40" i="5"/>
  <c r="U33" i="3"/>
  <c r="I46" i="3"/>
  <c r="C39" i="12"/>
  <c r="AO46" i="13"/>
  <c r="F33" i="14"/>
  <c r="G40" i="6"/>
  <c r="J32" i="12"/>
  <c r="L31" i="14"/>
  <c r="M31" i="14" s="1"/>
  <c r="L36" i="14"/>
  <c r="M36" i="14" s="1"/>
  <c r="K19" i="14"/>
  <c r="D46" i="13"/>
  <c r="AP19" i="13"/>
  <c r="AP18" i="13" s="1"/>
  <c r="AP17" i="13" s="1"/>
  <c r="I46" i="13"/>
  <c r="AD18" i="13"/>
  <c r="AD17" i="13" s="1"/>
  <c r="O18" i="3"/>
  <c r="O17" i="3" s="1"/>
  <c r="AP41" i="3"/>
  <c r="F18" i="3"/>
  <c r="F17" i="3" s="1"/>
  <c r="F46" i="3" s="1"/>
  <c r="AN18" i="3"/>
  <c r="AN17" i="3" s="1"/>
  <c r="G46" i="3"/>
  <c r="AP34" i="3"/>
  <c r="K41" i="6"/>
  <c r="K37" i="4"/>
  <c r="K41" i="5"/>
  <c r="K38" i="6"/>
  <c r="K38" i="5"/>
  <c r="K34" i="4"/>
  <c r="K26" i="6"/>
  <c r="K26" i="5"/>
  <c r="I42" i="6"/>
  <c r="I42" i="5"/>
  <c r="Z14" i="12"/>
  <c r="AB15" i="12"/>
  <c r="AP13" i="3"/>
  <c r="J33" i="6"/>
  <c r="J33" i="5"/>
  <c r="L30" i="4"/>
  <c r="S15" i="12"/>
  <c r="Q14" i="12"/>
  <c r="K42" i="6"/>
  <c r="K42" i="5"/>
  <c r="K18" i="5"/>
  <c r="K18" i="6"/>
  <c r="K46" i="6"/>
  <c r="K46" i="5"/>
  <c r="G17" i="4"/>
  <c r="G21" i="6"/>
  <c r="G21" i="5"/>
  <c r="K30" i="6"/>
  <c r="K30" i="5"/>
  <c r="AD18" i="3"/>
  <c r="AD17" i="3" s="1"/>
  <c r="K24" i="6"/>
  <c r="K24" i="5"/>
  <c r="L38" i="14"/>
  <c r="J37" i="14"/>
  <c r="E40" i="6"/>
  <c r="E40" i="5"/>
  <c r="AO33" i="3"/>
  <c r="AO46" i="3" s="1"/>
  <c r="I16" i="5"/>
  <c r="I16" i="6"/>
  <c r="L22" i="4"/>
  <c r="J25" i="6"/>
  <c r="J25" i="5"/>
  <c r="K33" i="6"/>
  <c r="K33" i="5"/>
  <c r="F18" i="4"/>
  <c r="F22" i="6"/>
  <c r="F22" i="5"/>
  <c r="I37" i="5"/>
  <c r="I37" i="6"/>
  <c r="J38" i="6"/>
  <c r="J34" i="4"/>
  <c r="J38" i="5"/>
  <c r="L35" i="4"/>
  <c r="J23" i="6"/>
  <c r="J23" i="5"/>
  <c r="L20" i="4"/>
  <c r="J19" i="4"/>
  <c r="W32" i="12"/>
  <c r="Y32" i="12" s="1"/>
  <c r="Y33" i="12"/>
  <c r="L39" i="14"/>
  <c r="M39" i="14" s="1"/>
  <c r="J39" i="6"/>
  <c r="L36" i="4"/>
  <c r="J39" i="5"/>
  <c r="L29" i="14"/>
  <c r="M29" i="14" s="1"/>
  <c r="AP37" i="13"/>
  <c r="AP33" i="13" s="1"/>
  <c r="AP46" i="13" s="1"/>
  <c r="K41" i="14"/>
  <c r="K58" i="14"/>
  <c r="K58" i="4"/>
  <c r="F44" i="6"/>
  <c r="F44" i="5"/>
  <c r="E33" i="4"/>
  <c r="I18" i="14"/>
  <c r="I17" i="14" s="1"/>
  <c r="V15" i="12"/>
  <c r="T14" i="12"/>
  <c r="H7" i="12"/>
  <c r="K53" i="3"/>
  <c r="K57" i="3" s="1"/>
  <c r="J46" i="3"/>
  <c r="L11" i="3"/>
  <c r="L46" i="3" s="1"/>
  <c r="L26" i="14"/>
  <c r="M26" i="14" s="1"/>
  <c r="J25" i="14"/>
  <c r="K12" i="6"/>
  <c r="K12" i="5"/>
  <c r="J15" i="12"/>
  <c r="H14" i="12"/>
  <c r="G36" i="5"/>
  <c r="G36" i="6"/>
  <c r="D36" i="6"/>
  <c r="D36" i="5"/>
  <c r="K25" i="14"/>
  <c r="K18" i="14" s="1"/>
  <c r="K17" i="14" s="1"/>
  <c r="N20" i="5"/>
  <c r="N20" i="6"/>
  <c r="N46" i="4"/>
  <c r="H40" i="6"/>
  <c r="H40" i="5"/>
  <c r="L56" i="4"/>
  <c r="J59" i="6"/>
  <c r="J59" i="5"/>
  <c r="J34" i="14"/>
  <c r="J33" i="14" s="1"/>
  <c r="L35" i="14"/>
  <c r="AK15" i="12"/>
  <c r="AI14" i="12"/>
  <c r="K58" i="5"/>
  <c r="K58" i="6"/>
  <c r="D21" i="6"/>
  <c r="D21" i="5"/>
  <c r="D17" i="4"/>
  <c r="AE15" i="12"/>
  <c r="AC14" i="12"/>
  <c r="J31" i="6"/>
  <c r="J31" i="5"/>
  <c r="L28" i="4"/>
  <c r="L7" i="12"/>
  <c r="L11" i="12" s="1"/>
  <c r="N46" i="3"/>
  <c r="N14" i="12"/>
  <c r="P15" i="12"/>
  <c r="N61" i="6"/>
  <c r="P58" i="4"/>
  <c r="N61" i="5"/>
  <c r="J26" i="6"/>
  <c r="J26" i="5"/>
  <c r="L23" i="4"/>
  <c r="AI32" i="12"/>
  <c r="AK32" i="12" s="1"/>
  <c r="AK33" i="12"/>
  <c r="K53" i="13"/>
  <c r="K57" i="13" s="1"/>
  <c r="J53" i="13"/>
  <c r="J46" i="13"/>
  <c r="L11" i="13"/>
  <c r="L46" i="13" s="1"/>
  <c r="AC32" i="12"/>
  <c r="AE32" i="12" s="1"/>
  <c r="E21" i="5"/>
  <c r="E21" i="6"/>
  <c r="E17" i="4"/>
  <c r="J46" i="6"/>
  <c r="L43" i="4"/>
  <c r="J46" i="5"/>
  <c r="F40" i="6"/>
  <c r="F40" i="5"/>
  <c r="G42" i="12"/>
  <c r="E41" i="12"/>
  <c r="G41" i="12" s="1"/>
  <c r="K32" i="6"/>
  <c r="K32" i="5"/>
  <c r="K19" i="4"/>
  <c r="K27" i="5"/>
  <c r="K27" i="6"/>
  <c r="J24" i="5"/>
  <c r="J24" i="6"/>
  <c r="L21" i="4"/>
  <c r="L30" i="14"/>
  <c r="M30" i="14" s="1"/>
  <c r="J18" i="6"/>
  <c r="L15" i="4"/>
  <c r="J18" i="5"/>
  <c r="K39" i="6"/>
  <c r="K39" i="5"/>
  <c r="L27" i="4"/>
  <c r="J30" i="6"/>
  <c r="J30" i="5"/>
  <c r="K14" i="12"/>
  <c r="M15" i="12"/>
  <c r="K37" i="14"/>
  <c r="K34" i="14"/>
  <c r="AH15" i="12"/>
  <c r="AF14" i="12"/>
  <c r="P59" i="5"/>
  <c r="P59" i="6"/>
  <c r="J60" i="5"/>
  <c r="J60" i="6"/>
  <c r="L57" i="4"/>
  <c r="AP33" i="3"/>
  <c r="P36" i="6"/>
  <c r="P36" i="5"/>
  <c r="K59" i="6"/>
  <c r="K59" i="5"/>
  <c r="F18" i="13"/>
  <c r="F17" i="13" s="1"/>
  <c r="F46" i="13" s="1"/>
  <c r="L31" i="4"/>
  <c r="J34" i="5"/>
  <c r="J34" i="6"/>
  <c r="F28" i="5"/>
  <c r="F28" i="6"/>
  <c r="O20" i="6"/>
  <c r="O20" i="5"/>
  <c r="O46" i="4"/>
  <c r="P22" i="5"/>
  <c r="P22" i="6"/>
  <c r="P18" i="4"/>
  <c r="I44" i="6"/>
  <c r="I44" i="5"/>
  <c r="J27" i="6"/>
  <c r="L24" i="4"/>
  <c r="J27" i="5"/>
  <c r="L28" i="14"/>
  <c r="M28" i="14" s="1"/>
  <c r="J9" i="8"/>
  <c r="N49" i="13"/>
  <c r="N48" i="13" s="1"/>
  <c r="N49" i="3"/>
  <c r="AN33" i="13"/>
  <c r="P28" i="6"/>
  <c r="P28" i="5"/>
  <c r="L23" i="14"/>
  <c r="M23" i="14" s="1"/>
  <c r="AB33" i="12"/>
  <c r="Z32" i="12"/>
  <c r="AB32" i="12" s="1"/>
  <c r="G15" i="12"/>
  <c r="E14" i="12"/>
  <c r="J8" i="7"/>
  <c r="J49" i="13"/>
  <c r="J49" i="3"/>
  <c r="L11" i="4"/>
  <c r="J12" i="6"/>
  <c r="J12" i="5"/>
  <c r="AP25" i="3"/>
  <c r="K17" i="6"/>
  <c r="K17" i="5"/>
  <c r="K13" i="4"/>
  <c r="J45" i="6"/>
  <c r="L42" i="4"/>
  <c r="J45" i="5"/>
  <c r="J41" i="4"/>
  <c r="L53" i="5"/>
  <c r="M53" i="5" s="1"/>
  <c r="L53" i="6"/>
  <c r="M53" i="6" s="1"/>
  <c r="M50" i="4"/>
  <c r="L43" i="14"/>
  <c r="H21" i="6"/>
  <c r="H17" i="4"/>
  <c r="H21" i="5"/>
  <c r="F16" i="6"/>
  <c r="F16" i="5"/>
  <c r="J58" i="6"/>
  <c r="J58" i="5"/>
  <c r="L55" i="4"/>
  <c r="J19" i="14"/>
  <c r="J18" i="14" s="1"/>
  <c r="L20" i="14"/>
  <c r="J13" i="4"/>
  <c r="J17" i="5"/>
  <c r="J17" i="6"/>
  <c r="L14" i="4"/>
  <c r="D33" i="12"/>
  <c r="B32" i="12"/>
  <c r="D32" i="12" s="1"/>
  <c r="L21" i="14"/>
  <c r="M21" i="14" s="1"/>
  <c r="L14" i="14"/>
  <c r="J13" i="14"/>
  <c r="H33" i="4"/>
  <c r="AN18" i="13"/>
  <c r="AN17" i="13" s="1"/>
  <c r="L15" i="14"/>
  <c r="M15" i="14" s="1"/>
  <c r="D46" i="3"/>
  <c r="K25" i="6"/>
  <c r="K25" i="5"/>
  <c r="J41" i="5"/>
  <c r="J37" i="4"/>
  <c r="J41" i="6"/>
  <c r="L38" i="4"/>
  <c r="L27" i="14"/>
  <c r="M27" i="14" s="1"/>
  <c r="S33" i="12"/>
  <c r="Q32" i="12"/>
  <c r="S32" i="12" s="1"/>
  <c r="J58" i="14"/>
  <c r="L58" i="14" s="1"/>
  <c r="AP57" i="3"/>
  <c r="J58" i="4"/>
  <c r="F37" i="5"/>
  <c r="F33" i="4"/>
  <c r="F37" i="6"/>
  <c r="G33" i="12"/>
  <c r="E32" i="12"/>
  <c r="G32" i="12" s="1"/>
  <c r="AN33" i="3"/>
  <c r="AP19" i="3"/>
  <c r="P33" i="12"/>
  <c r="N32" i="12"/>
  <c r="P32" i="12" s="1"/>
  <c r="J42" i="6"/>
  <c r="J42" i="5"/>
  <c r="L39" i="4"/>
  <c r="J32" i="5"/>
  <c r="L29" i="4"/>
  <c r="J32" i="6"/>
  <c r="K41" i="4"/>
  <c r="K45" i="6"/>
  <c r="K45" i="5"/>
  <c r="I22" i="6"/>
  <c r="I22" i="5"/>
  <c r="I18" i="4"/>
  <c r="I53" i="3"/>
  <c r="G57" i="3"/>
  <c r="I57" i="3" s="1"/>
  <c r="W14" i="12"/>
  <c r="K34" i="6"/>
  <c r="K34" i="5"/>
  <c r="B14" i="12"/>
  <c r="D15" i="12"/>
  <c r="L24" i="14"/>
  <c r="M24" i="14" s="1"/>
  <c r="K31" i="5"/>
  <c r="K31" i="6"/>
  <c r="I28" i="6"/>
  <c r="I28" i="5"/>
  <c r="AA39" i="12"/>
  <c r="K32" i="12"/>
  <c r="M32" i="12" s="1"/>
  <c r="M33" i="12"/>
  <c r="L11" i="14"/>
  <c r="J29" i="6"/>
  <c r="J29" i="5"/>
  <c r="L26" i="4"/>
  <c r="J25" i="4"/>
  <c r="K13" i="14"/>
  <c r="L42" i="14"/>
  <c r="J41" i="14"/>
  <c r="K25" i="4"/>
  <c r="K29" i="5"/>
  <c r="K29" i="6"/>
  <c r="I37" i="4"/>
  <c r="AN46" i="13" l="1"/>
  <c r="L25" i="14"/>
  <c r="M25" i="14" s="1"/>
  <c r="AN46" i="3"/>
  <c r="L41" i="14"/>
  <c r="AP18" i="3"/>
  <c r="AP17" i="3" s="1"/>
  <c r="AP46" i="3" s="1"/>
  <c r="I21" i="5"/>
  <c r="I17" i="4"/>
  <c r="I21" i="6"/>
  <c r="H36" i="6"/>
  <c r="H36" i="5"/>
  <c r="L58" i="6"/>
  <c r="L58" i="5"/>
  <c r="J44" i="6"/>
  <c r="J44" i="5"/>
  <c r="K16" i="6"/>
  <c r="K16" i="5"/>
  <c r="E30" i="12"/>
  <c r="G14" i="12"/>
  <c r="L42" i="12"/>
  <c r="L41" i="12" s="1"/>
  <c r="N48" i="3"/>
  <c r="O49" i="6"/>
  <c r="O49" i="5"/>
  <c r="O49" i="4"/>
  <c r="K30" i="12"/>
  <c r="M14" i="12"/>
  <c r="J57" i="13"/>
  <c r="L57" i="13" s="1"/>
  <c r="L53" i="13"/>
  <c r="L26" i="5"/>
  <c r="M26" i="5" s="1"/>
  <c r="M23" i="4"/>
  <c r="L26" i="6"/>
  <c r="M26" i="6" s="1"/>
  <c r="P61" i="5"/>
  <c r="P61" i="6"/>
  <c r="AI30" i="12"/>
  <c r="AK14" i="12"/>
  <c r="H11" i="12"/>
  <c r="J11" i="12" s="1"/>
  <c r="J7" i="12"/>
  <c r="E36" i="6"/>
  <c r="E36" i="5"/>
  <c r="J37" i="6"/>
  <c r="J37" i="5"/>
  <c r="J33" i="4"/>
  <c r="L25" i="6"/>
  <c r="M25" i="6" s="1"/>
  <c r="L25" i="5"/>
  <c r="M25" i="5" s="1"/>
  <c r="M22" i="4"/>
  <c r="G20" i="6"/>
  <c r="G20" i="5"/>
  <c r="W30" i="12"/>
  <c r="Y14" i="12"/>
  <c r="K44" i="5"/>
  <c r="K44" i="6"/>
  <c r="M39" i="4"/>
  <c r="L42" i="6"/>
  <c r="M42" i="6" s="1"/>
  <c r="L42" i="5"/>
  <c r="M42" i="5" s="1"/>
  <c r="L58" i="4"/>
  <c r="J61" i="6"/>
  <c r="J61" i="5"/>
  <c r="J40" i="6"/>
  <c r="J40" i="5"/>
  <c r="J16" i="6"/>
  <c r="J16" i="5"/>
  <c r="H42" i="12"/>
  <c r="J48" i="3"/>
  <c r="L49" i="3"/>
  <c r="L48" i="3" s="1"/>
  <c r="L27" i="6"/>
  <c r="M27" i="6" s="1"/>
  <c r="L27" i="5"/>
  <c r="M27" i="5" s="1"/>
  <c r="M24" i="4"/>
  <c r="P21" i="6"/>
  <c r="P21" i="5"/>
  <c r="P17" i="4"/>
  <c r="K33" i="14"/>
  <c r="K46" i="14" s="1"/>
  <c r="E20" i="6"/>
  <c r="E20" i="5"/>
  <c r="AC30" i="12"/>
  <c r="AE14" i="12"/>
  <c r="N49" i="6"/>
  <c r="N49" i="4"/>
  <c r="N49" i="5"/>
  <c r="H30" i="12"/>
  <c r="J14" i="12"/>
  <c r="T30" i="12"/>
  <c r="V14" i="12"/>
  <c r="L39" i="5"/>
  <c r="M39" i="5" s="1"/>
  <c r="L39" i="6"/>
  <c r="M39" i="6" s="1"/>
  <c r="M36" i="4"/>
  <c r="L33" i="6"/>
  <c r="M33" i="6" s="1"/>
  <c r="M30" i="4"/>
  <c r="L33" i="5"/>
  <c r="M33" i="5" s="1"/>
  <c r="K28" i="6"/>
  <c r="K28" i="5"/>
  <c r="M11" i="14"/>
  <c r="B30" i="12"/>
  <c r="D14" i="12"/>
  <c r="M14" i="14"/>
  <c r="L13" i="14"/>
  <c r="M13" i="14" s="1"/>
  <c r="M20" i="14"/>
  <c r="L19" i="14"/>
  <c r="M19" i="14" s="1"/>
  <c r="L45" i="5"/>
  <c r="L41" i="4"/>
  <c r="L45" i="6"/>
  <c r="L49" i="13"/>
  <c r="L48" i="13" s="1"/>
  <c r="J48" i="13"/>
  <c r="O9" i="8"/>
  <c r="Q11" i="13"/>
  <c r="Q46" i="13" s="1"/>
  <c r="Q11" i="3"/>
  <c r="L60" i="6"/>
  <c r="L60" i="5"/>
  <c r="M21" i="4"/>
  <c r="L24" i="5"/>
  <c r="M24" i="5" s="1"/>
  <c r="L24" i="6"/>
  <c r="M24" i="6" s="1"/>
  <c r="M28" i="4"/>
  <c r="L31" i="5"/>
  <c r="M31" i="5" s="1"/>
  <c r="L31" i="6"/>
  <c r="M31" i="6" s="1"/>
  <c r="M35" i="14"/>
  <c r="L34" i="14"/>
  <c r="L59" i="6"/>
  <c r="L59" i="5"/>
  <c r="J53" i="3"/>
  <c r="J18" i="4"/>
  <c r="J22" i="6"/>
  <c r="J22" i="5"/>
  <c r="M35" i="4"/>
  <c r="L38" i="5"/>
  <c r="M38" i="5" s="1"/>
  <c r="L34" i="4"/>
  <c r="L38" i="6"/>
  <c r="M38" i="6" s="1"/>
  <c r="Z30" i="12"/>
  <c r="AB14" i="12"/>
  <c r="J28" i="5"/>
  <c r="J28" i="6"/>
  <c r="L25" i="4"/>
  <c r="L17" i="5"/>
  <c r="M17" i="5" s="1"/>
  <c r="L17" i="6"/>
  <c r="M17" i="6" s="1"/>
  <c r="M14" i="4"/>
  <c r="L13" i="4"/>
  <c r="H20" i="6"/>
  <c r="H20" i="5"/>
  <c r="I40" i="6"/>
  <c r="I40" i="5"/>
  <c r="L29" i="6"/>
  <c r="M29" i="6" s="1"/>
  <c r="M26" i="4"/>
  <c r="L29" i="5"/>
  <c r="M29" i="5" s="1"/>
  <c r="M29" i="4"/>
  <c r="L32" i="6"/>
  <c r="M32" i="6" s="1"/>
  <c r="L32" i="5"/>
  <c r="M32" i="5" s="1"/>
  <c r="F36" i="6"/>
  <c r="F36" i="5"/>
  <c r="L41" i="6"/>
  <c r="M41" i="6" s="1"/>
  <c r="M38" i="4"/>
  <c r="L41" i="5"/>
  <c r="M41" i="5" s="1"/>
  <c r="L37" i="4"/>
  <c r="J17" i="14"/>
  <c r="J46" i="14" s="1"/>
  <c r="L18" i="14"/>
  <c r="L12" i="5"/>
  <c r="M12" i="5" s="1"/>
  <c r="M11" i="4"/>
  <c r="L12" i="6"/>
  <c r="M12" i="6" s="1"/>
  <c r="B36" i="11"/>
  <c r="B40" i="11" s="1"/>
  <c r="O8" i="7"/>
  <c r="M11" i="3"/>
  <c r="M11" i="13"/>
  <c r="L34" i="5"/>
  <c r="M34" i="5" s="1"/>
  <c r="L34" i="6"/>
  <c r="M34" i="6" s="1"/>
  <c r="M31" i="4"/>
  <c r="AF30" i="12"/>
  <c r="AH14" i="12"/>
  <c r="L30" i="5"/>
  <c r="M30" i="5" s="1"/>
  <c r="M27" i="4"/>
  <c r="L30" i="6"/>
  <c r="M30" i="6" s="1"/>
  <c r="L18" i="6"/>
  <c r="M18" i="6" s="1"/>
  <c r="L18" i="5"/>
  <c r="M18" i="5" s="1"/>
  <c r="M15" i="4"/>
  <c r="K22" i="6"/>
  <c r="K18" i="4"/>
  <c r="K22" i="5"/>
  <c r="L46" i="6"/>
  <c r="L46" i="5"/>
  <c r="N30" i="12"/>
  <c r="P14" i="12"/>
  <c r="D20" i="6"/>
  <c r="D20" i="5"/>
  <c r="K61" i="6"/>
  <c r="K61" i="5"/>
  <c r="L23" i="6"/>
  <c r="M23" i="6" s="1"/>
  <c r="L23" i="5"/>
  <c r="M23" i="5" s="1"/>
  <c r="M20" i="4"/>
  <c r="L19" i="4"/>
  <c r="I33" i="4"/>
  <c r="F21" i="6"/>
  <c r="F21" i="5"/>
  <c r="F17" i="4"/>
  <c r="L37" i="14"/>
  <c r="M37" i="14" s="1"/>
  <c r="M38" i="14"/>
  <c r="Q30" i="12"/>
  <c r="S14" i="12"/>
  <c r="K37" i="6"/>
  <c r="K33" i="4"/>
  <c r="K37" i="5"/>
  <c r="K40" i="6"/>
  <c r="K40" i="5"/>
  <c r="K7" i="12" l="1"/>
  <c r="M46" i="3"/>
  <c r="N53" i="3"/>
  <c r="N57" i="3" s="1"/>
  <c r="O11" i="3"/>
  <c r="O46" i="3" s="1"/>
  <c r="F20" i="5"/>
  <c r="F20" i="6"/>
  <c r="L22" i="5"/>
  <c r="M22" i="5" s="1"/>
  <c r="M19" i="4"/>
  <c r="L22" i="6"/>
  <c r="M22" i="6" s="1"/>
  <c r="S30" i="12"/>
  <c r="Q39" i="12"/>
  <c r="S39" i="12" s="1"/>
  <c r="P30" i="12"/>
  <c r="N39" i="12"/>
  <c r="P39" i="12" s="1"/>
  <c r="K17" i="4"/>
  <c r="K21" i="6"/>
  <c r="K21" i="5"/>
  <c r="O7" i="12"/>
  <c r="O11" i="12" s="1"/>
  <c r="Q46" i="3"/>
  <c r="AE30" i="12"/>
  <c r="AC39" i="12"/>
  <c r="AE39" i="12" s="1"/>
  <c r="P20" i="5"/>
  <c r="P20" i="6"/>
  <c r="P46" i="4"/>
  <c r="J42" i="12"/>
  <c r="H41" i="12"/>
  <c r="J41" i="12" s="1"/>
  <c r="J36" i="6"/>
  <c r="J36" i="5"/>
  <c r="N53" i="13"/>
  <c r="N57" i="13" s="1"/>
  <c r="M53" i="13"/>
  <c r="M46" i="13"/>
  <c r="O11" i="13"/>
  <c r="O46" i="13" s="1"/>
  <c r="L17" i="14"/>
  <c r="M17" i="14" s="1"/>
  <c r="M18" i="14"/>
  <c r="L37" i="6"/>
  <c r="M37" i="6" s="1"/>
  <c r="L37" i="5"/>
  <c r="M37" i="5" s="1"/>
  <c r="L33" i="4"/>
  <c r="M34" i="4"/>
  <c r="D30" i="12"/>
  <c r="B39" i="12"/>
  <c r="D39" i="12" s="1"/>
  <c r="T39" i="12"/>
  <c r="V39" i="12" s="1"/>
  <c r="V30" i="12"/>
  <c r="N52" i="6"/>
  <c r="N48" i="4"/>
  <c r="N52" i="5"/>
  <c r="P49" i="4"/>
  <c r="AI39" i="12"/>
  <c r="AK39" i="12" s="1"/>
  <c r="AK30" i="12"/>
  <c r="G30" i="12"/>
  <c r="E39" i="12"/>
  <c r="G39" i="12" s="1"/>
  <c r="I36" i="6"/>
  <c r="I36" i="5"/>
  <c r="J21" i="6"/>
  <c r="J21" i="5"/>
  <c r="L18" i="4"/>
  <c r="J17" i="4"/>
  <c r="L33" i="14"/>
  <c r="M33" i="14" s="1"/>
  <c r="M34" i="14"/>
  <c r="J10" i="8"/>
  <c r="Q49" i="13"/>
  <c r="Q48" i="13" s="1"/>
  <c r="Q49" i="3"/>
  <c r="L44" i="6"/>
  <c r="L44" i="5"/>
  <c r="W39" i="12"/>
  <c r="Y39" i="12" s="1"/>
  <c r="Y30" i="12"/>
  <c r="K39" i="12"/>
  <c r="M39" i="12" s="1"/>
  <c r="M30" i="12"/>
  <c r="K36" i="5"/>
  <c r="K36" i="6"/>
  <c r="AF39" i="12"/>
  <c r="AH39" i="12" s="1"/>
  <c r="AH30" i="12"/>
  <c r="J9" i="7"/>
  <c r="M49" i="13"/>
  <c r="M49" i="3"/>
  <c r="L40" i="6"/>
  <c r="M40" i="6" s="1"/>
  <c r="M37" i="4"/>
  <c r="L40" i="5"/>
  <c r="M40" i="5" s="1"/>
  <c r="L16" i="6"/>
  <c r="M16" i="6" s="1"/>
  <c r="L16" i="5"/>
  <c r="M16" i="5" s="1"/>
  <c r="M13" i="4"/>
  <c r="L28" i="6"/>
  <c r="M28" i="6" s="1"/>
  <c r="L28" i="5"/>
  <c r="M28" i="5" s="1"/>
  <c r="M25" i="4"/>
  <c r="AB30" i="12"/>
  <c r="Z39" i="12"/>
  <c r="AB39" i="12" s="1"/>
  <c r="L53" i="3"/>
  <c r="J57" i="3"/>
  <c r="L57" i="3" s="1"/>
  <c r="H39" i="12"/>
  <c r="J39" i="12" s="1"/>
  <c r="J30" i="12"/>
  <c r="L61" i="6"/>
  <c r="L61" i="5"/>
  <c r="O52" i="6"/>
  <c r="O52" i="5"/>
  <c r="O48" i="4"/>
  <c r="I20" i="6"/>
  <c r="I20" i="5"/>
  <c r="B46" i="11" l="1"/>
  <c r="B50" i="11" s="1"/>
  <c r="O9" i="7"/>
  <c r="P11" i="3"/>
  <c r="P11" i="13"/>
  <c r="J20" i="5"/>
  <c r="J20" i="6"/>
  <c r="J46" i="4"/>
  <c r="N51" i="5"/>
  <c r="N51" i="6"/>
  <c r="P49" i="6"/>
  <c r="P49" i="5"/>
  <c r="O42" i="12"/>
  <c r="O41" i="12" s="1"/>
  <c r="Q48" i="3"/>
  <c r="L46" i="14"/>
  <c r="M46" i="14" s="1"/>
  <c r="O51" i="6"/>
  <c r="O51" i="5"/>
  <c r="O10" i="8"/>
  <c r="T11" i="3"/>
  <c r="T11" i="13"/>
  <c r="T46" i="13" s="1"/>
  <c r="L21" i="6"/>
  <c r="M21" i="6" s="1"/>
  <c r="L21" i="5"/>
  <c r="M21" i="5" s="1"/>
  <c r="L17" i="4"/>
  <c r="M18" i="4"/>
  <c r="K20" i="6"/>
  <c r="K20" i="5"/>
  <c r="K46" i="4"/>
  <c r="K42" i="12"/>
  <c r="M48" i="3"/>
  <c r="O49" i="3"/>
  <c r="O48" i="3" s="1"/>
  <c r="P52" i="6"/>
  <c r="P52" i="5"/>
  <c r="P48" i="4"/>
  <c r="M57" i="13"/>
  <c r="O57" i="13" s="1"/>
  <c r="O53" i="13"/>
  <c r="M53" i="3"/>
  <c r="O49" i="13"/>
  <c r="O48" i="13" s="1"/>
  <c r="M48" i="13"/>
  <c r="L36" i="6"/>
  <c r="M36" i="6" s="1"/>
  <c r="L36" i="5"/>
  <c r="M36" i="5" s="1"/>
  <c r="M33" i="4"/>
  <c r="M7" i="12"/>
  <c r="K11" i="12"/>
  <c r="M11" i="12" s="1"/>
  <c r="K49" i="5" l="1"/>
  <c r="K49" i="6"/>
  <c r="L20" i="6"/>
  <c r="M20" i="6" s="1"/>
  <c r="L20" i="5"/>
  <c r="M20" i="5" s="1"/>
  <c r="M17" i="4"/>
  <c r="L46" i="4"/>
  <c r="P51" i="6"/>
  <c r="P51" i="5"/>
  <c r="Q53" i="13"/>
  <c r="Q57" i="13" s="1"/>
  <c r="P53" i="13"/>
  <c r="P46" i="13"/>
  <c r="R11" i="13"/>
  <c r="R46" i="13" s="1"/>
  <c r="M57" i="3"/>
  <c r="O57" i="3" s="1"/>
  <c r="O53" i="3"/>
  <c r="M42" i="12"/>
  <c r="K41" i="12"/>
  <c r="M41" i="12" s="1"/>
  <c r="J49" i="6"/>
  <c r="J49" i="5"/>
  <c r="N7" i="12"/>
  <c r="Q53" i="3"/>
  <c r="Q57" i="3" s="1"/>
  <c r="P46" i="3"/>
  <c r="R11" i="3"/>
  <c r="R46" i="3" s="1"/>
  <c r="P49" i="13"/>
  <c r="P49" i="3"/>
  <c r="J10" i="7"/>
  <c r="R7" i="12"/>
  <c r="R11" i="12" s="1"/>
  <c r="T46" i="3"/>
  <c r="J11" i="8"/>
  <c r="T49" i="3"/>
  <c r="T49" i="13"/>
  <c r="T48" i="13" s="1"/>
  <c r="R49" i="13" l="1"/>
  <c r="R48" i="13" s="1"/>
  <c r="P48" i="13"/>
  <c r="P53" i="3"/>
  <c r="O11" i="8"/>
  <c r="W11" i="13"/>
  <c r="W46" i="13" s="1"/>
  <c r="W11" i="3"/>
  <c r="N11" i="12"/>
  <c r="P11" i="12" s="1"/>
  <c r="P7" i="12"/>
  <c r="R42" i="12"/>
  <c r="R41" i="12" s="1"/>
  <c r="T48" i="3"/>
  <c r="B56" i="11"/>
  <c r="B60" i="11" s="1"/>
  <c r="O10" i="7"/>
  <c r="S11" i="13"/>
  <c r="S11" i="3"/>
  <c r="R53" i="13"/>
  <c r="P57" i="13"/>
  <c r="R57" i="13" s="1"/>
  <c r="L49" i="6"/>
  <c r="M49" i="6" s="1"/>
  <c r="M46" i="4"/>
  <c r="L49" i="5"/>
  <c r="M49" i="5" s="1"/>
  <c r="N42" i="12"/>
  <c r="R49" i="3"/>
  <c r="R48" i="3" s="1"/>
  <c r="P48" i="3"/>
  <c r="S53" i="13" l="1"/>
  <c r="T53" i="13"/>
  <c r="T57" i="13" s="1"/>
  <c r="S46" i="13"/>
  <c r="U11" i="13"/>
  <c r="U46" i="13" s="1"/>
  <c r="N41" i="12"/>
  <c r="P41" i="12" s="1"/>
  <c r="P42" i="12"/>
  <c r="J11" i="7"/>
  <c r="S49" i="13"/>
  <c r="S49" i="3"/>
  <c r="J12" i="8"/>
  <c r="W49" i="13"/>
  <c r="W48" i="13" s="1"/>
  <c r="W49" i="3"/>
  <c r="Q7" i="12"/>
  <c r="T53" i="3"/>
  <c r="T57" i="3" s="1"/>
  <c r="S46" i="3"/>
  <c r="U11" i="3"/>
  <c r="U46" i="3" s="1"/>
  <c r="P57" i="3"/>
  <c r="R57" i="3" s="1"/>
  <c r="R53" i="3"/>
  <c r="U7" i="12"/>
  <c r="U11" i="12" s="1"/>
  <c r="W46" i="3"/>
  <c r="S53" i="3" l="1"/>
  <c r="O12" i="8"/>
  <c r="Z11" i="13"/>
  <c r="Z46" i="13" s="1"/>
  <c r="Z11" i="3"/>
  <c r="S7" i="12"/>
  <c r="Q11" i="12"/>
  <c r="S11" i="12" s="1"/>
  <c r="Q42" i="12"/>
  <c r="U49" i="3"/>
  <c r="U48" i="3" s="1"/>
  <c r="S48" i="3"/>
  <c r="U49" i="13"/>
  <c r="U48" i="13" s="1"/>
  <c r="S48" i="13"/>
  <c r="U42" i="12"/>
  <c r="U41" i="12" s="1"/>
  <c r="W48" i="3"/>
  <c r="U53" i="3"/>
  <c r="S57" i="3"/>
  <c r="U57" i="3" s="1"/>
  <c r="B66" i="11"/>
  <c r="B70" i="11" s="1"/>
  <c r="O11" i="7"/>
  <c r="V11" i="3"/>
  <c r="V11" i="13"/>
  <c r="S57" i="13"/>
  <c r="U57" i="13" s="1"/>
  <c r="U53" i="13"/>
  <c r="T7" i="12" l="1"/>
  <c r="V46" i="3"/>
  <c r="W53" i="3"/>
  <c r="W57" i="3" s="1"/>
  <c r="V53" i="3"/>
  <c r="X11" i="3"/>
  <c r="X46" i="3" s="1"/>
  <c r="J13" i="8"/>
  <c r="Z49" i="3"/>
  <c r="Z49" i="13"/>
  <c r="Z48" i="13" s="1"/>
  <c r="J12" i="7"/>
  <c r="V49" i="13"/>
  <c r="V49" i="3"/>
  <c r="X7" i="12"/>
  <c r="X11" i="12" s="1"/>
  <c r="Z46" i="3"/>
  <c r="W53" i="13"/>
  <c r="W57" i="13" s="1"/>
  <c r="V53" i="13"/>
  <c r="V46" i="13"/>
  <c r="X11" i="13"/>
  <c r="X46" i="13" s="1"/>
  <c r="S42" i="12"/>
  <c r="Q41" i="12"/>
  <c r="S41" i="12" s="1"/>
  <c r="X53" i="3" l="1"/>
  <c r="V57" i="3"/>
  <c r="X57" i="3" s="1"/>
  <c r="V57" i="13"/>
  <c r="X57" i="13" s="1"/>
  <c r="X53" i="13"/>
  <c r="X42" i="12"/>
  <c r="X41" i="12" s="1"/>
  <c r="Z48" i="3"/>
  <c r="T42" i="12"/>
  <c r="V48" i="3"/>
  <c r="X49" i="3"/>
  <c r="X48" i="3" s="1"/>
  <c r="X49" i="13"/>
  <c r="X48" i="13" s="1"/>
  <c r="V48" i="13"/>
  <c r="O13" i="8"/>
  <c r="AC11" i="3"/>
  <c r="AC11" i="13"/>
  <c r="AC46" i="13" s="1"/>
  <c r="B76" i="11"/>
  <c r="B80" i="11" s="1"/>
  <c r="O12" i="7"/>
  <c r="Y11" i="13"/>
  <c r="Y11" i="3"/>
  <c r="T11" i="12"/>
  <c r="V11" i="12" s="1"/>
  <c r="V7" i="12"/>
  <c r="J13" i="7" l="1"/>
  <c r="Y49" i="13"/>
  <c r="Y49" i="3"/>
  <c r="J14" i="8"/>
  <c r="AC49" i="3"/>
  <c r="AC49" i="13"/>
  <c r="AC48" i="13" s="1"/>
  <c r="Z53" i="13"/>
  <c r="Z57" i="13" s="1"/>
  <c r="Y53" i="13"/>
  <c r="Y46" i="13"/>
  <c r="AA11" i="13"/>
  <c r="AA46" i="13" s="1"/>
  <c r="V42" i="12"/>
  <c r="T41" i="12"/>
  <c r="V41" i="12" s="1"/>
  <c r="W7" i="12"/>
  <c r="Y53" i="3"/>
  <c r="Y46" i="3"/>
  <c r="Z53" i="3"/>
  <c r="Z57" i="3" s="1"/>
  <c r="AA11" i="3"/>
  <c r="AA46" i="3" s="1"/>
  <c r="AA7" i="12"/>
  <c r="AA11" i="12" s="1"/>
  <c r="AC46" i="3"/>
  <c r="O14" i="8" l="1"/>
  <c r="AF11" i="13"/>
  <c r="AF46" i="13" s="1"/>
  <c r="AF11" i="3"/>
  <c r="Y57" i="13"/>
  <c r="AA57" i="13" s="1"/>
  <c r="AA53" i="13"/>
  <c r="Y57" i="3"/>
  <c r="AA57" i="3" s="1"/>
  <c r="AA53" i="3"/>
  <c r="W11" i="12"/>
  <c r="Y11" i="12" s="1"/>
  <c r="Y7" i="12"/>
  <c r="W42" i="12"/>
  <c r="Y48" i="3"/>
  <c r="AA49" i="3"/>
  <c r="AA48" i="3" s="1"/>
  <c r="AA49" i="13"/>
  <c r="AA48" i="13" s="1"/>
  <c r="Y48" i="13"/>
  <c r="AA42" i="12"/>
  <c r="AA41" i="12" s="1"/>
  <c r="AC48" i="3"/>
  <c r="B86" i="11"/>
  <c r="B90" i="11" s="1"/>
  <c r="O13" i="7"/>
  <c r="AB11" i="3"/>
  <c r="AB11" i="13"/>
  <c r="AC53" i="13" l="1"/>
  <c r="AC57" i="13" s="1"/>
  <c r="AB53" i="13"/>
  <c r="AB46" i="13"/>
  <c r="AD11" i="13"/>
  <c r="AD46" i="13" s="1"/>
  <c r="AD7" i="12"/>
  <c r="AD11" i="12" s="1"/>
  <c r="AF46" i="3"/>
  <c r="Z7" i="12"/>
  <c r="AB53" i="3"/>
  <c r="AC53" i="3"/>
  <c r="AC57" i="3" s="1"/>
  <c r="AD11" i="3"/>
  <c r="AD46" i="3" s="1"/>
  <c r="AB46" i="3"/>
  <c r="AB49" i="3"/>
  <c r="J14" i="7"/>
  <c r="AB49" i="13"/>
  <c r="Y42" i="12"/>
  <c r="W41" i="12"/>
  <c r="Y41" i="12" s="1"/>
  <c r="J15" i="8"/>
  <c r="AF49" i="13"/>
  <c r="AF48" i="13" s="1"/>
  <c r="AF49" i="3"/>
  <c r="Z42" i="12" l="1"/>
  <c r="AD49" i="3"/>
  <c r="AD48" i="3" s="1"/>
  <c r="AB48" i="3"/>
  <c r="AB57" i="3"/>
  <c r="AD57" i="3" s="1"/>
  <c r="AD53" i="3"/>
  <c r="O15" i="8"/>
  <c r="AI11" i="13"/>
  <c r="AI46" i="13" s="1"/>
  <c r="AI11" i="3"/>
  <c r="Z11" i="12"/>
  <c r="AB11" i="12" s="1"/>
  <c r="AB7" i="12"/>
  <c r="AD49" i="13"/>
  <c r="AD48" i="13" s="1"/>
  <c r="AB48" i="13"/>
  <c r="AB57" i="13"/>
  <c r="AD57" i="13" s="1"/>
  <c r="AD53" i="13"/>
  <c r="AD42" i="12"/>
  <c r="AD41" i="12" s="1"/>
  <c r="AF48" i="3"/>
  <c r="B96" i="11"/>
  <c r="B100" i="11" s="1"/>
  <c r="O14" i="7"/>
  <c r="AE11" i="13"/>
  <c r="AE11" i="3"/>
  <c r="AG7" i="12" l="1"/>
  <c r="AG11" i="12" s="1"/>
  <c r="AI46" i="3"/>
  <c r="AE53" i="13"/>
  <c r="AF53" i="13"/>
  <c r="AF57" i="13" s="1"/>
  <c r="AE46" i="13"/>
  <c r="AG11" i="13"/>
  <c r="AG46" i="13" s="1"/>
  <c r="AC7" i="12"/>
  <c r="AF53" i="3"/>
  <c r="AF57" i="3" s="1"/>
  <c r="AE46" i="3"/>
  <c r="AE53" i="3"/>
  <c r="AG11" i="3"/>
  <c r="AG46" i="3" s="1"/>
  <c r="J15" i="7"/>
  <c r="AE49" i="3"/>
  <c r="AE49" i="13"/>
  <c r="J16" i="8"/>
  <c r="AI49" i="13"/>
  <c r="AI48" i="13" s="1"/>
  <c r="AI49" i="3"/>
  <c r="Z41" i="12"/>
  <c r="AB41" i="12" s="1"/>
  <c r="AB42" i="12"/>
  <c r="B106" i="11" l="1"/>
  <c r="B110" i="11" s="1"/>
  <c r="O15" i="7"/>
  <c r="AH11" i="13"/>
  <c r="AH11" i="3"/>
  <c r="AG42" i="12"/>
  <c r="AG41" i="12" s="1"/>
  <c r="AI48" i="3"/>
  <c r="O16" i="8"/>
  <c r="AL11" i="13"/>
  <c r="AL46" i="13" s="1"/>
  <c r="AL11" i="3"/>
  <c r="H11" i="14"/>
  <c r="H46" i="14" s="1"/>
  <c r="E54" i="4"/>
  <c r="H54" i="4"/>
  <c r="H54" i="14"/>
  <c r="E54" i="14"/>
  <c r="H11" i="4"/>
  <c r="E11" i="14"/>
  <c r="E46" i="14" s="1"/>
  <c r="E11" i="4"/>
  <c r="AE7" i="12"/>
  <c r="AC11" i="12"/>
  <c r="AE11" i="12" s="1"/>
  <c r="AE57" i="13"/>
  <c r="AG57" i="13" s="1"/>
  <c r="AG53" i="13"/>
  <c r="AG49" i="13"/>
  <c r="AG48" i="13" s="1"/>
  <c r="AE48" i="13"/>
  <c r="AG53" i="3"/>
  <c r="AE57" i="3"/>
  <c r="AG57" i="3" s="1"/>
  <c r="AC42" i="12"/>
  <c r="AG49" i="3"/>
  <c r="AG48" i="3" s="1"/>
  <c r="AE48" i="3"/>
  <c r="AF7" i="12" l="1"/>
  <c r="AI53" i="3"/>
  <c r="AI57" i="3" s="1"/>
  <c r="AH53" i="3"/>
  <c r="AH46" i="3"/>
  <c r="AJ11" i="3"/>
  <c r="AJ46" i="3" s="1"/>
  <c r="H57" i="6"/>
  <c r="H57" i="5"/>
  <c r="H12" i="5"/>
  <c r="H12" i="6"/>
  <c r="H46" i="4"/>
  <c r="E57" i="6"/>
  <c r="E57" i="5"/>
  <c r="AL49" i="3"/>
  <c r="AL49" i="13"/>
  <c r="AL48" i="13" s="1"/>
  <c r="AO49" i="3"/>
  <c r="AO49" i="13"/>
  <c r="AO48" i="13" s="1"/>
  <c r="E49" i="14"/>
  <c r="E48" i="14" s="1"/>
  <c r="H49" i="14"/>
  <c r="H48" i="14" s="1"/>
  <c r="H58" i="14"/>
  <c r="E58" i="14"/>
  <c r="E49" i="4"/>
  <c r="E58" i="4"/>
  <c r="H58" i="4"/>
  <c r="H49" i="4"/>
  <c r="AI53" i="13"/>
  <c r="AI57" i="13" s="1"/>
  <c r="AH53" i="13"/>
  <c r="AH46" i="13"/>
  <c r="AJ11" i="13"/>
  <c r="AJ46" i="13" s="1"/>
  <c r="J16" i="7"/>
  <c r="AH49" i="3"/>
  <c r="AH49" i="13"/>
  <c r="AE42" i="12"/>
  <c r="AC41" i="12"/>
  <c r="AE41" i="12" s="1"/>
  <c r="E46" i="4"/>
  <c r="E12" i="6"/>
  <c r="E12" i="5"/>
  <c r="AJ7" i="12"/>
  <c r="AJ11" i="12" s="1"/>
  <c r="AL46" i="3"/>
  <c r="E61" i="6" l="1"/>
  <c r="E61" i="5"/>
  <c r="E52" i="6"/>
  <c r="E52" i="5"/>
  <c r="E48" i="4"/>
  <c r="E49" i="6"/>
  <c r="E49" i="5"/>
  <c r="H52" i="5"/>
  <c r="H48" i="4"/>
  <c r="H52" i="6"/>
  <c r="AJ49" i="13"/>
  <c r="AJ48" i="13" s="1"/>
  <c r="AH48" i="13"/>
  <c r="H61" i="6"/>
  <c r="H61" i="5"/>
  <c r="K49" i="14"/>
  <c r="K48" i="14" s="1"/>
  <c r="K49" i="4"/>
  <c r="AO48" i="3"/>
  <c r="AJ53" i="3"/>
  <c r="AH57" i="3"/>
  <c r="AJ57" i="3" s="1"/>
  <c r="H49" i="6"/>
  <c r="H49" i="5"/>
  <c r="AF42" i="12"/>
  <c r="AH48" i="3"/>
  <c r="AJ49" i="3"/>
  <c r="AJ48" i="3" s="1"/>
  <c r="AH57" i="13"/>
  <c r="AJ57" i="13" s="1"/>
  <c r="AJ53" i="13"/>
  <c r="B116" i="11"/>
  <c r="B120" i="11" s="1"/>
  <c r="O16" i="7"/>
  <c r="AK11" i="3"/>
  <c r="AK11" i="13"/>
  <c r="D11" i="14"/>
  <c r="G11" i="4"/>
  <c r="G54" i="14"/>
  <c r="I54" i="14" s="1"/>
  <c r="G11" i="14"/>
  <c r="D11" i="4"/>
  <c r="D54" i="14"/>
  <c r="F54" i="14" s="1"/>
  <c r="G54" i="4"/>
  <c r="D54" i="4"/>
  <c r="AJ42" i="12"/>
  <c r="AJ41" i="12" s="1"/>
  <c r="AL48" i="3"/>
  <c r="AH7" i="12"/>
  <c r="AF11" i="12"/>
  <c r="AH11" i="12" s="1"/>
  <c r="D57" i="6" l="1"/>
  <c r="D57" i="5"/>
  <c r="F54" i="4"/>
  <c r="G57" i="5"/>
  <c r="I54" i="4"/>
  <c r="G57" i="6"/>
  <c r="G12" i="6"/>
  <c r="G46" i="4"/>
  <c r="G12" i="5"/>
  <c r="I11" i="4"/>
  <c r="AK49" i="3"/>
  <c r="AK49" i="13"/>
  <c r="G49" i="4"/>
  <c r="D58" i="14"/>
  <c r="F58" i="14" s="1"/>
  <c r="D58" i="4"/>
  <c r="G58" i="14"/>
  <c r="I58" i="14" s="1"/>
  <c r="D49" i="14"/>
  <c r="G49" i="14"/>
  <c r="AN49" i="13"/>
  <c r="G58" i="4"/>
  <c r="AN49" i="3"/>
  <c r="D49" i="4"/>
  <c r="K52" i="6"/>
  <c r="K52" i="5"/>
  <c r="K48" i="4"/>
  <c r="G46" i="14"/>
  <c r="I11" i="14"/>
  <c r="I46" i="14" s="1"/>
  <c r="D12" i="5"/>
  <c r="F11" i="4"/>
  <c r="D12" i="6"/>
  <c r="D46" i="4"/>
  <c r="D46" i="14"/>
  <c r="F11" i="14"/>
  <c r="F46" i="14" s="1"/>
  <c r="AL53" i="13"/>
  <c r="AL57" i="13" s="1"/>
  <c r="AK53" i="13"/>
  <c r="AK46" i="13"/>
  <c r="AM11" i="13"/>
  <c r="AM46" i="13" s="1"/>
  <c r="AH42" i="12"/>
  <c r="AF41" i="12"/>
  <c r="AH41" i="12" s="1"/>
  <c r="AI7" i="12"/>
  <c r="AK53" i="3"/>
  <c r="AK46" i="3"/>
  <c r="AM11" i="3"/>
  <c r="AM46" i="3" s="1"/>
  <c r="AL53" i="3"/>
  <c r="AL57" i="3" s="1"/>
  <c r="H51" i="6"/>
  <c r="H51" i="5"/>
  <c r="E51" i="5"/>
  <c r="E51" i="6"/>
  <c r="AM49" i="13" l="1"/>
  <c r="AM48" i="13" s="1"/>
  <c r="AK48" i="13"/>
  <c r="G49" i="6"/>
  <c r="G49" i="5"/>
  <c r="AI42" i="12"/>
  <c r="AK48" i="3"/>
  <c r="AM49" i="3"/>
  <c r="AM48" i="3" s="1"/>
  <c r="F57" i="6"/>
  <c r="F57" i="5"/>
  <c r="AI11" i="12"/>
  <c r="AK11" i="12" s="1"/>
  <c r="AK7" i="12"/>
  <c r="AK57" i="13"/>
  <c r="AM57" i="13" s="1"/>
  <c r="AM53" i="13"/>
  <c r="AN48" i="13"/>
  <c r="AP49" i="13"/>
  <c r="AP48" i="13" s="1"/>
  <c r="D52" i="6"/>
  <c r="F49" i="4"/>
  <c r="D52" i="5"/>
  <c r="D48" i="4"/>
  <c r="I49" i="14"/>
  <c r="I48" i="14" s="1"/>
  <c r="G48" i="14"/>
  <c r="I12" i="6"/>
  <c r="I12" i="5"/>
  <c r="I46" i="4"/>
  <c r="G61" i="5"/>
  <c r="I58" i="4"/>
  <c r="G61" i="6"/>
  <c r="D49" i="6"/>
  <c r="D49" i="5"/>
  <c r="D61" i="6"/>
  <c r="D61" i="5"/>
  <c r="F58" i="4"/>
  <c r="AK57" i="3"/>
  <c r="AM57" i="3" s="1"/>
  <c r="AM53" i="3"/>
  <c r="F46" i="4"/>
  <c r="F12" i="5"/>
  <c r="F12" i="6"/>
  <c r="K51" i="6"/>
  <c r="K51" i="5"/>
  <c r="J49" i="14"/>
  <c r="AP49" i="3"/>
  <c r="AP48" i="3" s="1"/>
  <c r="AN48" i="3"/>
  <c r="J49" i="4"/>
  <c r="D48" i="14"/>
  <c r="F49" i="14"/>
  <c r="F48" i="14" s="1"/>
  <c r="G52" i="6"/>
  <c r="I49" i="4"/>
  <c r="G52" i="5"/>
  <c r="G48" i="4"/>
  <c r="I57" i="6"/>
  <c r="I57" i="5"/>
  <c r="I49" i="6" l="1"/>
  <c r="I49" i="5"/>
  <c r="J52" i="6"/>
  <c r="J48" i="4"/>
  <c r="J52" i="5"/>
  <c r="L49" i="4"/>
  <c r="F49" i="6"/>
  <c r="F49" i="5"/>
  <c r="D51" i="6"/>
  <c r="D51" i="5"/>
  <c r="J48" i="14"/>
  <c r="L49" i="14"/>
  <c r="I52" i="5"/>
  <c r="I52" i="6"/>
  <c r="I48" i="4"/>
  <c r="I61" i="6"/>
  <c r="I61" i="5"/>
  <c r="F61" i="6"/>
  <c r="F61" i="5"/>
  <c r="G51" i="6"/>
  <c r="G51" i="5"/>
  <c r="F52" i="6"/>
  <c r="F48" i="4"/>
  <c r="F52" i="5"/>
  <c r="AK42" i="12"/>
  <c r="AI41" i="12"/>
  <c r="AK41" i="12" s="1"/>
  <c r="M49" i="14" l="1"/>
  <c r="L48" i="14"/>
  <c r="M48" i="14" s="1"/>
  <c r="J51" i="6"/>
  <c r="J51" i="5"/>
  <c r="F51" i="5"/>
  <c r="F51" i="6"/>
  <c r="I51" i="6"/>
  <c r="I51" i="5"/>
  <c r="M49" i="4"/>
  <c r="L52" i="5"/>
  <c r="M52" i="5" s="1"/>
  <c r="L48" i="4"/>
  <c r="L52" i="6"/>
  <c r="M52" i="6" s="1"/>
  <c r="L51" i="6" l="1"/>
  <c r="M51" i="6" s="1"/>
  <c r="M48" i="4"/>
  <c r="L51" i="5"/>
  <c r="M51" i="5" s="1"/>
</calcChain>
</file>

<file path=xl/sharedStrings.xml><?xml version="1.0" encoding="utf-8"?>
<sst xmlns="http://schemas.openxmlformats.org/spreadsheetml/2006/main" count="1845" uniqueCount="490">
  <si>
    <t>BCX Totaalstaat</t>
  </si>
  <si>
    <t>Sorghum - Sweet for period 2016/03/01 to 2017/02/01</t>
  </si>
  <si>
    <t>Return Date</t>
  </si>
  <si>
    <t>Opening Stock</t>
  </si>
  <si>
    <t>Producer Deliveries</t>
  </si>
  <si>
    <t>Import Border</t>
  </si>
  <si>
    <t>Import Ship</t>
  </si>
  <si>
    <t>Receipts from Harbour</t>
  </si>
  <si>
    <t>Receipts from Other RSA</t>
  </si>
  <si>
    <t>Surplus</t>
  </si>
  <si>
    <t>Indoor Malt</t>
  </si>
  <si>
    <t>Floor Malt</t>
  </si>
  <si>
    <t>Meal</t>
  </si>
  <si>
    <t>Rice and Grits Brew</t>
  </si>
  <si>
    <t>Rice and Grits Consumption</t>
  </si>
  <si>
    <t>Petfood</t>
  </si>
  <si>
    <t>Poultry</t>
  </si>
  <si>
    <t>Livestock</t>
  </si>
  <si>
    <t>Biofuel</t>
  </si>
  <si>
    <t>Export Border</t>
  </si>
  <si>
    <t>Export Ship</t>
  </si>
  <si>
    <t>Withdrawn By Producer</t>
  </si>
  <si>
    <t>End Consumer</t>
  </si>
  <si>
    <t>Seed For Plant</t>
  </si>
  <si>
    <t>Dispatch to Harbour</t>
  </si>
  <si>
    <t>Dispatch to Other RSA</t>
  </si>
  <si>
    <t>Other Used 1</t>
  </si>
  <si>
    <t>Other Used 2</t>
  </si>
  <si>
    <t>Deficit</t>
  </si>
  <si>
    <t>Closing Stock</t>
  </si>
  <si>
    <t>Transit</t>
  </si>
  <si>
    <t>Prod Exp Afr</t>
  </si>
  <si>
    <t>Prod Exp Other</t>
  </si>
  <si>
    <t>Closing PRC</t>
  </si>
  <si>
    <t>2016/03/01</t>
  </si>
  <si>
    <t>2016/04/01</t>
  </si>
  <si>
    <t>2016/05/01</t>
  </si>
  <si>
    <t>2016/06/01</t>
  </si>
  <si>
    <t>2016/07/01</t>
  </si>
  <si>
    <t>2016/08/01</t>
  </si>
  <si>
    <t>2016/09/01</t>
  </si>
  <si>
    <t>2016/10/01</t>
  </si>
  <si>
    <t>2016/11/01</t>
  </si>
  <si>
    <t>2016/12/01</t>
  </si>
  <si>
    <t>2017/01/01</t>
  </si>
  <si>
    <t>2017/02/01</t>
  </si>
  <si>
    <t>Handaanpassings</t>
  </si>
  <si>
    <t>Closing Stock Other</t>
  </si>
  <si>
    <t>Closing Stock PRC</t>
  </si>
  <si>
    <t>Transito Other</t>
  </si>
  <si>
    <t>Transito PRC</t>
  </si>
  <si>
    <t>Total</t>
  </si>
  <si>
    <t xml:space="preserve">Closing Stock PRC </t>
  </si>
  <si>
    <t>Transit CGO</t>
  </si>
  <si>
    <t>Transit PRC</t>
  </si>
  <si>
    <t>BCX Old Season</t>
  </si>
  <si>
    <t>2015/03/01</t>
  </si>
  <si>
    <t>2015/04/01</t>
  </si>
  <si>
    <t>2015/05/01</t>
  </si>
  <si>
    <t>2015/06/01</t>
  </si>
  <si>
    <t>2015/07/01</t>
  </si>
  <si>
    <t>2015/08/01</t>
  </si>
  <si>
    <t>2015/09/01</t>
  </si>
  <si>
    <t>2015/10/01</t>
  </si>
  <si>
    <t>2015/11/01</t>
  </si>
  <si>
    <t>2015/12/01</t>
  </si>
  <si>
    <t>2016/01/01</t>
  </si>
  <si>
    <t>2016/02/01</t>
  </si>
  <si>
    <t>Sorghum - Bitter for period 2016/03/01 to 2017/02/01</t>
  </si>
  <si>
    <t>SORGHUM</t>
  </si>
  <si>
    <t xml:space="preserve">Monthly announcement of data / Maandelikse bekendmaking van data (1) </t>
  </si>
  <si>
    <t>2017/2018 Year(Mar - Feb)/ 2017/2018 Jaar(Mrt - Feb)(2)</t>
  </si>
  <si>
    <t>ton</t>
  </si>
  <si>
    <t>Mar/Mrt 2017</t>
  </si>
  <si>
    <t>Apr 2017</t>
  </si>
  <si>
    <t>May/Mei 2017</t>
  </si>
  <si>
    <t>Jun 2017</t>
  </si>
  <si>
    <t>Jul 2017</t>
  </si>
  <si>
    <t>Aug 2017</t>
  </si>
  <si>
    <t>Sep 2017</t>
  </si>
  <si>
    <t>Oct/Okt 2017</t>
  </si>
  <si>
    <t>Nov 2017</t>
  </si>
  <si>
    <t>Dec/Des 2017</t>
  </si>
  <si>
    <t>Jan 2018</t>
  </si>
  <si>
    <t>Feb 2018</t>
  </si>
  <si>
    <t>Progressive/Progressief</t>
  </si>
  <si>
    <t>Sweet</t>
  </si>
  <si>
    <t>Soet</t>
  </si>
  <si>
    <t>Bitter</t>
  </si>
  <si>
    <t>Totaal</t>
  </si>
  <si>
    <t>1 Mar/Mrt 2017</t>
  </si>
  <si>
    <t>1 Apr 2017</t>
  </si>
  <si>
    <t>1 May/Mei 2017</t>
  </si>
  <si>
    <t>1 Jun 2017</t>
  </si>
  <si>
    <t>1 Jul 2017</t>
  </si>
  <si>
    <t>1 Aug 2017</t>
  </si>
  <si>
    <t>1 Sep 2017</t>
  </si>
  <si>
    <t>1 Oct/Okt 2017</t>
  </si>
  <si>
    <t>1 Nov 2017</t>
  </si>
  <si>
    <t>1 Dec/Des 2017</t>
  </si>
  <si>
    <t>1 Jan 2018</t>
  </si>
  <si>
    <t>1 Feb 2018</t>
  </si>
  <si>
    <t>(a) Opening Stock</t>
  </si>
  <si>
    <t>(a) Beginvoorraad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</si>
  <si>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</si>
  <si>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</si>
  <si>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</si>
  <si>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</si>
  <si>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</si>
  <si>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</si>
  <si>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</si>
  <si>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</si>
  <si>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Processed for the local market:</t>
  </si>
  <si>
    <t>Verwerk vir die binnelandse mark:</t>
  </si>
  <si>
    <t>Human Consumption:</t>
  </si>
  <si>
    <t>Menslike verbruik:</t>
  </si>
  <si>
    <t>Indoor malting process</t>
  </si>
  <si>
    <t>Binnehuise moutproses</t>
  </si>
  <si>
    <t>Floor malting process</t>
  </si>
  <si>
    <t>Vloer moutproses</t>
  </si>
  <si>
    <t>Meal (iii)</t>
  </si>
  <si>
    <t>Meel (iii)</t>
  </si>
  <si>
    <t>Rice &amp; Grits - Brew</t>
  </si>
  <si>
    <t>Rys en gruis - brou</t>
  </si>
  <si>
    <t>Rice &amp; Grits - Consumption</t>
  </si>
  <si>
    <t>Rys en gruis - verbruikers</t>
  </si>
  <si>
    <t>Animal feed market:</t>
  </si>
  <si>
    <t>Veevoermark:</t>
  </si>
  <si>
    <t>Pet Food</t>
  </si>
  <si>
    <t>Troeteldierkos</t>
  </si>
  <si>
    <t>Feed - Poultry</t>
  </si>
  <si>
    <t>Voer - pluimvee</t>
  </si>
  <si>
    <t>Feed - Livestock</t>
  </si>
  <si>
    <t>Voer - lewende hawe</t>
  </si>
  <si>
    <t>Bio-fuel</t>
  </si>
  <si>
    <t>Biobrandstof</t>
  </si>
  <si>
    <t>Withdrawn by producers</t>
  </si>
  <si>
    <t>Onttrek deur produsente</t>
  </si>
  <si>
    <t>Released to end-consumer(s)</t>
  </si>
  <si>
    <t>Vrygestel aan eindverbruiker(s)</t>
  </si>
  <si>
    <t>(d) RSA Exports (3)</t>
  </si>
  <si>
    <t>(d) RSA Uitvoere (3)</t>
  </si>
  <si>
    <t>Products (i)</t>
  </si>
  <si>
    <t>Produkte (i)</t>
  </si>
  <si>
    <t>African countries</t>
  </si>
  <si>
    <t>Afrika lande</t>
  </si>
  <si>
    <t>Other countries</t>
  </si>
  <si>
    <t>Ander lande</t>
  </si>
  <si>
    <t>Whole sorghum</t>
  </si>
  <si>
    <t>Heelsorghum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</si>
  <si>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</si>
  <si>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</si>
  <si>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</si>
  <si>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</si>
  <si>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</si>
  <si>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</si>
  <si>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</si>
  <si>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</si>
  <si>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 (ii)</t>
  </si>
  <si>
    <t>Surplus(-)/Tekort(+) (ii)</t>
  </si>
  <si>
    <t>31 Mar/Mrt 2017</t>
  </si>
  <si>
    <t>30 Apr 2017</t>
  </si>
  <si>
    <t>31 May/Mei 2017</t>
  </si>
  <si>
    <t>30 Jun 2017</t>
  </si>
  <si>
    <t>31 Jul 2017</t>
  </si>
  <si>
    <t>31 Aug 2017</t>
  </si>
  <si>
    <t>30 Sep 2017</t>
  </si>
  <si>
    <t>31 Oct/Okt 2017</t>
  </si>
  <si>
    <t>30 Nov 2017</t>
  </si>
  <si>
    <t>31 Dec/Des 2017</t>
  </si>
  <si>
    <t>31 Jan 2018</t>
  </si>
  <si>
    <t>28 Feb 2018</t>
  </si>
  <si>
    <t>(f) Unutilised stock (a+b-c-d-e)</t>
  </si>
  <si>
    <t>(f) Onaangewende voorraad (a+b-c-d-e)</t>
  </si>
  <si>
    <t>(g) Stock stored at: (4)</t>
  </si>
  <si>
    <t>(g) Voorraad geberg by: (4)</t>
  </si>
  <si>
    <t>Storers and traders</t>
  </si>
  <si>
    <t>Opbergers en handelaars</t>
  </si>
  <si>
    <t>Processors</t>
  </si>
  <si>
    <t>Verwerkers</t>
  </si>
  <si>
    <t>(h) Imports destined for exports not included in the above information</t>
  </si>
  <si>
    <t>(h) Invoere bestem vir uitvoere nie ingesluit in inligting hierbo nie</t>
  </si>
  <si>
    <t>Opening stock</t>
  </si>
  <si>
    <t>Beginvoorraad</t>
  </si>
  <si>
    <t>Imported</t>
  </si>
  <si>
    <t>Invoere</t>
  </si>
  <si>
    <t>Exported</t>
  </si>
  <si>
    <t>Uitvoere</t>
  </si>
  <si>
    <t>Stock surplus(-)/deficit(+)</t>
  </si>
  <si>
    <t>Voorraad surplus(-)/tekort(+)</t>
  </si>
  <si>
    <t>Closing stock</t>
  </si>
  <si>
    <t>Eindvoorraad</t>
  </si>
  <si>
    <t>(i) Sorghum equivalent./Sorghum ekwivalent.</t>
  </si>
  <si>
    <t>(ii) The surplus/deficit figures are partly due to sorghum dispatched as sweet sorghum but received as bitter sorghum and vice versa and/or adjustments between sweet sorghum and bitter sorghum./ Die surplus/tekort syfers is gedeeltelik as gevolg van sorghum wat versend is as soet sorghum maar ontvang word as bitter sorghum en vice versa en/of aanpassings tussen soet sorghum en bitter sorghum.</t>
  </si>
  <si>
    <t>(iii) Processed for drinkable alcohol included./Verwerk vir drinkbare alkohol ingesluit.</t>
  </si>
  <si>
    <t>Also refer to general footnotes./Verwys ook na algemene voetnotas.</t>
  </si>
  <si>
    <t>Monthly announcement of data/Maandelikse bekendmaking van data(1)</t>
  </si>
  <si>
    <t>Preliminary/Voorlopig</t>
  </si>
  <si>
    <t>GM-GL</t>
  </si>
  <si>
    <t>GH</t>
  </si>
  <si>
    <t>%</t>
  </si>
  <si>
    <t>Sweet/Soet</t>
  </si>
  <si>
    <t>+/-(3)</t>
  </si>
  <si>
    <t>1 Mar/Mrt 2016</t>
  </si>
  <si>
    <t>Processed for local market:</t>
  </si>
  <si>
    <t>Verwerk vir binnelandse mark:</t>
  </si>
  <si>
    <t>Human consumption:</t>
  </si>
  <si>
    <t>Rice and grits - brew</t>
  </si>
  <si>
    <t>Rice and grits - consumption</t>
  </si>
  <si>
    <t>Feed - poultry</t>
  </si>
  <si>
    <t>Feed - livestock</t>
  </si>
  <si>
    <t>(d) RSA Exports (5)</t>
  </si>
  <si>
    <t>(d) RSA Uitvoere (5)</t>
  </si>
  <si>
    <t>Products (5)</t>
  </si>
  <si>
    <t>Produkte (5)</t>
  </si>
  <si>
    <t>Net dispatches(+)/Receipts(-)</t>
  </si>
  <si>
    <t>Netto versendings(+)/Ontvangstes(-)</t>
  </si>
  <si>
    <t>(g) Stock stored at:(6)</t>
  </si>
  <si>
    <t>(g) Voorraad geberg by:(6)</t>
  </si>
  <si>
    <t>Storers and Traders</t>
  </si>
  <si>
    <t>(h) Imports destined for exports not</t>
  </si>
  <si>
    <t>(h) Invoere vir uitvoere nie</t>
  </si>
  <si>
    <t>included in the above information</t>
  </si>
  <si>
    <t>ingeslit in inligting hierbo nie</t>
  </si>
  <si>
    <t>Ingevoer</t>
  </si>
  <si>
    <t>Uitgevoer</t>
  </si>
  <si>
    <t>Sorghum equivalent.</t>
  </si>
  <si>
    <t>(i)</t>
  </si>
  <si>
    <t>Sorghum ekwivalent.</t>
  </si>
  <si>
    <t>The surplus/deficit figures are partly due to sorghum dispatched as sweet sorghum but received</t>
  </si>
  <si>
    <t>(ii)</t>
  </si>
  <si>
    <t>Die surplus/tekort syfers is gedeeltelik as gevolg van sorghum wat versend is as soet sorghum maar ontvang</t>
  </si>
  <si>
    <t>as bitter sorghum and vice versa and/or adjustments between sweet sorghum and bitter sorghum.</t>
  </si>
  <si>
    <t>word as bitter sorghum en vice versa en/of aanpassings tussen soet sorghum en bitter sorghum.</t>
  </si>
  <si>
    <t>Processed for drinkable alcohol included.</t>
  </si>
  <si>
    <t>(iii)</t>
  </si>
  <si>
    <t>Verwerk vir drinkbare alkohol ingesluit.</t>
  </si>
  <si>
    <t>Also refer to general footnotes.</t>
  </si>
  <si>
    <t>Verwys ook na algemene voetnotas.</t>
  </si>
  <si>
    <t>SORGHUM / AMABELE</t>
  </si>
  <si>
    <t>Monthly announcement of data / Izimemezelo zemininingwane zanyangazonke (1)</t>
  </si>
  <si>
    <t>Progressive/Okuqhubekayo</t>
  </si>
  <si>
    <t>-Noshukela</t>
  </si>
  <si>
    <t>-Babayo</t>
  </si>
  <si>
    <t>Sekukonke</t>
  </si>
  <si>
    <t>English</t>
  </si>
  <si>
    <t>isiZulu</t>
  </si>
  <si>
    <t>1 March/KuMashi 2016</t>
  </si>
  <si>
    <t>thani</t>
  </si>
  <si>
    <t>(a) Isitokwe sokuvula</t>
  </si>
  <si>
    <t>(b) Okutholakalayo</t>
  </si>
  <si>
    <t>Impahla esuka emapulazini</t>
  </si>
  <si>
    <t>Impahla ethengwe kwamanye amazwe eqonde e-RSA</t>
  </si>
  <si>
    <t>(c) Ukusetshenziswa</t>
  </si>
  <si>
    <t>Okulungiselwe izimakethe zakuleli zwe:</t>
  </si>
  <si>
    <t>Okusetshenziswa ngabantu:</t>
  </si>
  <si>
    <t>Indlela esebenza ngaphakathi yokwenza imvubelo</t>
  </si>
  <si>
    <t>Indlela esebenza phansi yokwenza imvubelo</t>
  </si>
  <si>
    <t>Impuphu (iii)</t>
  </si>
  <si>
    <t>Irayisi nohlalu - ukubilisa</t>
  </si>
  <si>
    <t>Irayisi nohlalu - ukusetshenziswa</t>
  </si>
  <si>
    <t>Ukudla kwezilwane:</t>
  </si>
  <si>
    <t>Ukudla kwenfuyo engabangane</t>
  </si>
  <si>
    <t>Ukudla - kwezinkukhu</t>
  </si>
  <si>
    <t>Ukudla - kwemfuyo</t>
  </si>
  <si>
    <t>Ibhayofuweli - bio-fuel</t>
  </si>
  <si>
    <t>Okuhoxiswe ngabakhiqizi</t>
  </si>
  <si>
    <t>Okukhululelwe kulaba abakusebenzisayo</t>
  </si>
  <si>
    <t>(d) Okuthunyelwa yiRSA kwamanye amazwe (5)</t>
  </si>
  <si>
    <t>Imikhiqizo (i)</t>
  </si>
  <si>
    <t>Emazweni as-Afrika</t>
  </si>
  <si>
    <t>Kwamanye amazwe</t>
  </si>
  <si>
    <t>Amabele ophelele</t>
  </si>
  <si>
    <t>Emingceleni</t>
  </si>
  <si>
    <t>Emachwebeni</t>
  </si>
  <si>
    <t>(e) Okwehlukene</t>
  </si>
  <si>
    <t>Okusele okuthunyelwayo(+)/Okwemukelwayo(-)</t>
  </si>
  <si>
    <t>Okungaphezulu(-)/Okungaphansi(+) (ii)</t>
  </si>
  <si>
    <t xml:space="preserve">(f) Isitokwe esingasetshenzisiwe (a+b-c-d-e) </t>
  </si>
  <si>
    <t xml:space="preserve">(g) Isitokwe esibekwe e-: (6) </t>
  </si>
  <si>
    <t>Kubantu ababheka impahla ne abathengisa impahla</t>
  </si>
  <si>
    <t>Kubantu abalungisa impahla</t>
  </si>
  <si>
    <t>(h) Impahla ethengwe kwamanye amazwe eqondo ukuba ithunyelwa</t>
  </si>
  <si>
    <t>kwamanye amazwe kodwa engafakiwe eminininggwaneni engenhla</t>
  </si>
  <si>
    <t>Isitokwe sokuvula</t>
  </si>
  <si>
    <t>Okuthengwe kwamanye amazwe</t>
  </si>
  <si>
    <t>Okuthunyelwa kwamanye amazwe</t>
  </si>
  <si>
    <t>Isitokwe esingaphezulu(-)/esingaphansi(+)</t>
  </si>
  <si>
    <t>Isitokwe sa kuvhala</t>
  </si>
  <si>
    <t>Okulinganiswa amabele.</t>
  </si>
  <si>
    <t>Izibalo ezingaphezulu/ezingaphansi ngakolunye uhlangothi zingenxa amabela babayo</t>
  </si>
  <si>
    <t>othunyelwa nje kodwa wasetshenziselwa nje nga amabela amoshukela kanye nge ndlela inye.</t>
  </si>
  <si>
    <t>Ilungiselelwe utshwala obuselekayo obukhoyo.</t>
  </si>
  <si>
    <t>Bheka futhi ekhasini lezenezelo.</t>
  </si>
  <si>
    <t>SORGHUM / MABELE</t>
  </si>
  <si>
    <t xml:space="preserve">Monthly announcement of data / Kitsiso ya kgwedi le Kgwedi ya tshedimosetso (1) </t>
  </si>
  <si>
    <t>Progressive/Tswelelang pele</t>
  </si>
  <si>
    <t>Monate</t>
  </si>
  <si>
    <t>Ga e na tatso</t>
  </si>
  <si>
    <t>Palogotlhe</t>
  </si>
  <si>
    <t>Setswana</t>
  </si>
  <si>
    <t>1 March/Mopitlwe 2016</t>
  </si>
  <si>
    <t>tono</t>
  </si>
  <si>
    <t>(a) Dithoto tsa go simolola</t>
  </si>
  <si>
    <t>(b) Kamogelo</t>
  </si>
  <si>
    <t>Kgorosodithoto ka tlhamalalo go tswa dipolaseng</t>
  </si>
  <si>
    <t>Ditswantle tse di totisitsweng Repaboliki ya Aforika Borwa</t>
  </si>
  <si>
    <t>(c) Tiriso</t>
  </si>
  <si>
    <t>Siamiseditsweng mebaraka ya selegae:</t>
  </si>
  <si>
    <t>Dijego tsa batho:</t>
  </si>
  <si>
    <t>Tshiamiso ya momela ya ka mo ntlong</t>
  </si>
  <si>
    <t>Tshiamiso ya momela ya mo bodilong</t>
  </si>
  <si>
    <t>Bupi (iii)</t>
  </si>
  <si>
    <t>Reisi le mogailwa - komelo</t>
  </si>
  <si>
    <t>Reisi le mogailwa - dijego</t>
  </si>
  <si>
    <t>Furu ya diphologolo:</t>
  </si>
  <si>
    <t>Dijo tsa meotlwana</t>
  </si>
  <si>
    <t>Dijo – thuokoko</t>
  </si>
  <si>
    <t>Furu – loruo</t>
  </si>
  <si>
    <t>Baofuele</t>
  </si>
  <si>
    <t>Gogetswe morago ke bantshadikuno</t>
  </si>
  <si>
    <t>Gololetswe badirisi ba bofelo</t>
  </si>
  <si>
    <t>(d) Diromelwantle tsa Repaboliki ya Aforika Borwa (5)</t>
  </si>
  <si>
    <t>Dikuno (i)</t>
  </si>
  <si>
    <t>Dinaga tsa Aforika</t>
  </si>
  <si>
    <t>Dinaga tse dingwe</t>
  </si>
  <si>
    <t>Mabele a a feletseng</t>
  </si>
  <si>
    <t>Dikgoro tsa melelwane</t>
  </si>
  <si>
    <t>Maemelakepe</t>
  </si>
  <si>
    <t>(e) Tsele le tsele</t>
  </si>
  <si>
    <t>Dithomelo(+)/dikamogelo gotlhegotlhe(-)</t>
  </si>
  <si>
    <t>Phetiso(-)/Tlhaelo(+) (ii)</t>
  </si>
  <si>
    <t xml:space="preserve">(f) Dithoto tse di sa dirisiwang (a+b-c-d-e) </t>
  </si>
  <si>
    <t xml:space="preserve">(g) Dithoto tse di beilweng kwa: (6) </t>
  </si>
  <si>
    <t>Babolokadithoto le bagwebi</t>
  </si>
  <si>
    <t>Badiradikuno</t>
  </si>
  <si>
    <t>(h) Ditswantle tse di ikaeletsweng go romelwa ntle tse di</t>
  </si>
  <si>
    <t>sa akarediwang mo tshedimosetsong e e fa godimo</t>
  </si>
  <si>
    <t>Dithoto tsa go simolola</t>
  </si>
  <si>
    <t>Tse di ntswang ntle</t>
  </si>
  <si>
    <t>Tse di romelwang ntle</t>
  </si>
  <si>
    <t>Phetiso(-)/Tlhaelo(+) ya dithoto</t>
  </si>
  <si>
    <t>Dithoto tsa ho tswala</t>
  </si>
  <si>
    <t>Selekana le mabele.</t>
  </si>
  <si>
    <t>Dipalo tsa phetiso/tlhaelo di tlile ka ntlha ya gore mabele a a mogege a a rometsweng</t>
  </si>
  <si>
    <t>mme a amogetswe e bile a dirisitswe jaaka mabele a a monate fela jalo a a monate a dirisitswe a le a a mogege.</t>
  </si>
  <si>
    <t>E tlhotlhilwe le go fetolelwa go ka nna seno/senotagi.</t>
  </si>
  <si>
    <t>O ka leba gape go ntlhanatlhaloso tsa kakaretso.</t>
  </si>
  <si>
    <t>BCX Deurvoer</t>
  </si>
  <si>
    <t>Sorghum - Deurvoer for period 2016/03/01 to 2017/02/01</t>
  </si>
  <si>
    <t>Summary - Current Season</t>
  </si>
  <si>
    <t>Import Harbour</t>
  </si>
  <si>
    <t>Handaanpassing Harbour</t>
  </si>
  <si>
    <t>Handaanpassing Border</t>
  </si>
  <si>
    <t>Total Harbour</t>
  </si>
  <si>
    <t>Total Border</t>
  </si>
  <si>
    <t>Total Imports</t>
  </si>
  <si>
    <t>Total Exports</t>
  </si>
  <si>
    <t>EXPORT</t>
  </si>
  <si>
    <t>EXPORT SUMMARY</t>
  </si>
  <si>
    <t>Export Harbour</t>
  </si>
  <si>
    <t>Handaanpassings Harbour</t>
  </si>
  <si>
    <t>Handaanpassings Border</t>
  </si>
  <si>
    <t>Old Season</t>
  </si>
  <si>
    <t>Summary - Previous Season</t>
  </si>
  <si>
    <t>Sorghum - Bitter Deurvoer for period 2016/03/01 to 2017/02/01</t>
  </si>
  <si>
    <t>BCX Product Exports</t>
  </si>
  <si>
    <t>Sorghum - Sweet per Processing Type for period 2016/03/01 to 2017/02/01</t>
  </si>
  <si>
    <t>Sorghum - Sweet Previous Season</t>
  </si>
  <si>
    <t>Sorghum - Bitter per Processing Type for period 2016/03/01 to 2017/02/01</t>
  </si>
  <si>
    <t>Sorghum - Bitter Previous Season</t>
  </si>
  <si>
    <t>SMB91 Summary</t>
  </si>
  <si>
    <t>March</t>
  </si>
  <si>
    <t>Deurvoer</t>
  </si>
  <si>
    <t>Nett Receipts/Dispatches</t>
  </si>
  <si>
    <t>Nett Surplus/Defiit</t>
  </si>
  <si>
    <t>Dispatch RSA</t>
  </si>
  <si>
    <t>Dispatch Harbour</t>
  </si>
  <si>
    <t>Receipts RSA</t>
  </si>
  <si>
    <t>Surplus/Deficit</t>
  </si>
  <si>
    <t>Nett Surplus/Deficit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</si>
  <si>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</si>
  <si>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</si>
  <si>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</si>
  <si>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</si>
  <si>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</si>
  <si>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</si>
  <si>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</si>
  <si>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</si>
  <si>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</si>
  <si>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</si>
  <si>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</si>
  <si>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SAGIS: Sorghum S&amp;D per month (Tons)</t>
  </si>
  <si>
    <t>SUPPLY</t>
  </si>
  <si>
    <t>Prod deliveries</t>
  </si>
  <si>
    <t>Improts</t>
  </si>
  <si>
    <t>Total Supply</t>
  </si>
  <si>
    <t>DEMAND</t>
  </si>
  <si>
    <t>Processed for local market</t>
  </si>
  <si>
    <t>Human</t>
  </si>
  <si>
    <t xml:space="preserve"> - Indoor Malting</t>
  </si>
  <si>
    <t xml:space="preserve"> - Floor Malting</t>
  </si>
  <si>
    <t xml:space="preserve"> - Meal</t>
  </si>
  <si>
    <t xml:space="preserve"> - Rice &amp; grits (Brew)</t>
  </si>
  <si>
    <t xml:space="preserve"> - Rice &amp; grits (Consumption)</t>
  </si>
  <si>
    <t>Animal Feed</t>
  </si>
  <si>
    <t xml:space="preserve"> - Pet Food</t>
  </si>
  <si>
    <t xml:space="preserve"> - Poultry Feed</t>
  </si>
  <si>
    <t xml:space="preserve"> - Livestock Feed</t>
  </si>
  <si>
    <t>Released to end-consumers</t>
  </si>
  <si>
    <t>Local Demand</t>
  </si>
  <si>
    <t>Exports</t>
  </si>
  <si>
    <t>Products</t>
  </si>
  <si>
    <t xml:space="preserve">    African Countries</t>
  </si>
  <si>
    <t xml:space="preserve">    Other Countries</t>
  </si>
  <si>
    <t>Whole Sorghum</t>
  </si>
  <si>
    <t xml:space="preserve">    Border Posts</t>
  </si>
  <si>
    <t xml:space="preserve">    Harbours</t>
  </si>
  <si>
    <t>Total Demand</t>
  </si>
  <si>
    <t>Ending Stock</t>
  </si>
  <si>
    <t xml:space="preserve"> Storers and traders</t>
  </si>
  <si>
    <t>Mar/Mrt 2016</t>
  </si>
  <si>
    <t>May/Mei 2016</t>
  </si>
  <si>
    <t>Oct/Okt 2016</t>
  </si>
  <si>
    <t>Dec/Des 2016</t>
  </si>
  <si>
    <t>Nov 2016</t>
  </si>
  <si>
    <t>Apr 2016</t>
  </si>
  <si>
    <t>Jun 2016</t>
  </si>
  <si>
    <t>Jul 2016</t>
  </si>
  <si>
    <t>Aug 2016</t>
  </si>
  <si>
    <t>Sep 2016</t>
  </si>
  <si>
    <t>Feb 2017</t>
  </si>
  <si>
    <t>1 May/Mei 2016</t>
  </si>
  <si>
    <t>1 Oct/Okt 2016</t>
  </si>
  <si>
    <t>1 Dec/Des 2016</t>
  </si>
  <si>
    <t>1 Feb 2017</t>
  </si>
  <si>
    <t>1 Jan 2017</t>
  </si>
  <si>
    <t>1 Apr 2016</t>
  </si>
  <si>
    <t>1 Jun 2016</t>
  </si>
  <si>
    <t>1 Nov 2016</t>
  </si>
  <si>
    <t>31 Mar/Mrt 2016</t>
  </si>
  <si>
    <t>31 May/Mei 2016</t>
  </si>
  <si>
    <t>30 Apr 2016</t>
  </si>
  <si>
    <t>30 Jun 2016</t>
  </si>
  <si>
    <t>31 July 2016</t>
  </si>
  <si>
    <t>31 Aug 2016</t>
  </si>
  <si>
    <t>30 Sep 2016</t>
  </si>
  <si>
    <t>30 Nov 2016</t>
  </si>
  <si>
    <t>31 Jan 2017</t>
  </si>
  <si>
    <t>28 Feb 2017</t>
  </si>
  <si>
    <t>Prog. Mar/Mrt 2016 - Feb 2017</t>
  </si>
  <si>
    <t>Mar/Mrt 2016 - Feb 2017</t>
  </si>
  <si>
    <t>Jan 2017</t>
  </si>
  <si>
    <t>31 Dec/Des 2016</t>
  </si>
  <si>
    <t>Final/Finaal</t>
  </si>
  <si>
    <t>Prog. Mar/Mrt 2015 - Feb 2016</t>
  </si>
  <si>
    <t>Mar/Mrt 2015 - Feb 2016</t>
  </si>
  <si>
    <t>2016/2017 Year(Mar - Feb) FINAL/ 2016/2017 Jaar(Mrt - Feb) FINAAL (2)</t>
  </si>
  <si>
    <t>SMD-042017</t>
  </si>
  <si>
    <t>2017-04-26</t>
  </si>
  <si>
    <t>March 2016 - February 2017</t>
  </si>
  <si>
    <t>KuMashi 2016 - KuFebhuwari 2017</t>
  </si>
  <si>
    <t>March 2015 - February 2016</t>
  </si>
  <si>
    <t>KuMashi 2015 - KuFebhuwari 2016</t>
  </si>
  <si>
    <t>January 2017</t>
  </si>
  <si>
    <t>KuJanuwari 2017</t>
  </si>
  <si>
    <t>February 2017</t>
  </si>
  <si>
    <t>KuFebhuwari 2017</t>
  </si>
  <si>
    <t>1 January/KuJanuwari 2017</t>
  </si>
  <si>
    <t>1 February/KuFebhuwari 2017</t>
  </si>
  <si>
    <t>1 March/KuMashi 2015</t>
  </si>
  <si>
    <t>2016/17 Year (March - February) FINAL / Unyaka ka- 2016/17 (KuMashi-KuFebhuwari) ZOKUGCINA (2)</t>
  </si>
  <si>
    <t>31 January/KuJanuwari 2017</t>
  </si>
  <si>
    <t>28 February/KuFebhuwari 2017</t>
  </si>
  <si>
    <t>2016/17 Year (March - February) FINAL / Ngwaga wa 2016/17(Mopitlwe - Tlhakole) BOFELO /BOKHUTLO (2)</t>
  </si>
  <si>
    <t>Ferikgong 2017</t>
  </si>
  <si>
    <t>Tlhakole 2017</t>
  </si>
  <si>
    <t>Mopitlwe 2016 - Tlhakole 2017</t>
  </si>
  <si>
    <t>31 January/Ferikgong 2017</t>
  </si>
  <si>
    <t>28 February/Tlhakole 2017</t>
  </si>
  <si>
    <t>1 Mar/Mrt 2015</t>
  </si>
  <si>
    <t>1 January/Ferikgong 2017</t>
  </si>
  <si>
    <t>1 February/Tlhakole 2017</t>
  </si>
  <si>
    <t>1 March/Mopitlwe 2015</t>
  </si>
  <si>
    <t>Mopitlwe 2015 - Tlhakole 2016</t>
  </si>
  <si>
    <t>Final/Bofelo/Bokhutlo</t>
  </si>
  <si>
    <t>Final/Zokugcina</t>
  </si>
  <si>
    <t>29 February/KuFebhuwari 2016</t>
  </si>
  <si>
    <t>29 February/Tlhakole 2016</t>
  </si>
  <si>
    <t>29 Feb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</si>
</sst>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3" x14ac:knownFonts="1">
    <font>
      <sz val="22"/>
      <color rgb="FF000000"/>
      <name val="Arial Narrow"/>
    </font>
    <font>
      <b/>
      <sz val="22"/>
      <color rgb="FF000000"/>
      <name val="Arial Narrow"/>
    </font>
    <font>
      <sz val="2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7" xfId="0" applyFont="1" applyBorder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7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8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6" xfId="0" applyNumberFormat="1" applyBorder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3" fontId="0" fillId="0" borderId="8" xfId="0" applyNumberFormat="1" applyBorder="1"/>
    <xf numFmtId="0" fontId="1" fillId="0" borderId="1" xfId="0" applyFont="1" applyBorder="1"/>
    <xf numFmtId="0" fontId="1" fillId="0" borderId="3" xfId="0" applyFont="1" applyBorder="1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0" fillId="0" borderId="2" xfId="0" applyBorder="1"/>
    <xf numFmtId="0" fontId="1" fillId="0" borderId="8" xfId="0" applyFont="1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0" fillId="0" borderId="27" xfId="0" applyBorder="1"/>
    <xf numFmtId="0" fontId="0" fillId="0" borderId="20" xfId="0" applyBorder="1"/>
    <xf numFmtId="0" fontId="0" fillId="0" borderId="21" xfId="0" applyBorder="1"/>
    <xf numFmtId="0" fontId="1" fillId="0" borderId="28" xfId="0" applyFont="1" applyBorder="1"/>
    <xf numFmtId="0" fontId="0" fillId="0" borderId="23" xfId="0" applyBorder="1"/>
    <xf numFmtId="0" fontId="0" fillId="0" borderId="25" xfId="0" applyBorder="1"/>
    <xf numFmtId="0" fontId="1" fillId="0" borderId="29" xfId="0" applyFont="1" applyBorder="1"/>
    <xf numFmtId="3" fontId="1" fillId="0" borderId="28" xfId="0" applyNumberFormat="1" applyFont="1" applyBorder="1"/>
    <xf numFmtId="3" fontId="0" fillId="0" borderId="28" xfId="0" applyNumberFormat="1" applyBorder="1"/>
    <xf numFmtId="3" fontId="0" fillId="0" borderId="22" xfId="0" applyNumberFormat="1" applyBorder="1"/>
    <xf numFmtId="3" fontId="0" fillId="0" borderId="24" xfId="0" applyNumberFormat="1" applyBorder="1"/>
    <xf numFmtId="3" fontId="1" fillId="0" borderId="29" xfId="0" applyNumberFormat="1" applyFont="1" applyBorder="1"/>
    <xf numFmtId="3" fontId="0" fillId="0" borderId="29" xfId="0" applyNumberFormat="1" applyBorder="1"/>
    <xf numFmtId="3" fontId="0" fillId="0" borderId="26" xfId="0" applyNumberFormat="1" applyBorder="1"/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2" fillId="0" borderId="14" xfId="0" quotePrefix="1" applyNumberFormat="1" applyFon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7" fontId="2" fillId="0" borderId="4" xfId="0" quotePrefix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" fontId="0" fillId="0" borderId="4" xfId="0" quotePrefix="1" applyNumberFormat="1" applyBorder="1" applyAlignment="1">
      <alignment horizontal="center" vertical="center"/>
    </xf>
    <xf numFmtId="15" fontId="2" fillId="0" borderId="14" xfId="0" quotePrefix="1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14" xfId="0" applyFont="1" applyBorder="1" applyAlignment="1">
      <alignment horizontal="center"/>
    </xf>
    <xf numFmtId="3" fontId="0" fillId="0" borderId="14" xfId="0" quotePrefix="1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2" fillId="0" borderId="14" xfId="0" quotePrefix="1" applyNumberFormat="1" applyFont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15" fontId="0" fillId="0" borderId="14" xfId="0" quotePrefix="1" applyNumberForma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3524250" cy="13906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2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3524250" cy="13906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2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/Web%20Opdatering%20Werksdokumente/Publication%20Sheets/Sorghum/2016-2017/fina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weet"/>
      <sheetName val="Bitter"/>
      <sheetName val="Langstaat"/>
      <sheetName val="AFR_Kort"/>
      <sheetName val="ZULU_Kort"/>
      <sheetName val="TSWANA_Kort"/>
      <sheetName val="DeurvoerSweet"/>
      <sheetName val="DeurvoerBitter"/>
      <sheetName val="ProdExpSweet"/>
      <sheetName val="ProdExpBitter"/>
      <sheetName val="SMB91Summary"/>
      <sheetName val="S&amp;D Langstaat"/>
      <sheetName val="Langstaat_NO_PROTECTION"/>
      <sheetName val="AFR_Kort_NOProtect"/>
    </sheetNames>
    <sheetDataSet>
      <sheetData sheetId="0"/>
      <sheetData sheetId="1"/>
      <sheetData sheetId="2">
        <row r="3">
          <cell r="D3" t="str">
            <v>2016/2017 Year(Mar - Feb) FINAL/ 2016/2017 Jaar(Mrt - Feb) FINAAL (2)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zoomScale="55" workbookViewId="0">
      <pane xSplit="1" ySplit="4" topLeftCell="B56" activePane="bottomRight" state="frozen"/>
      <selection pane="topRight" activeCell="B1" sqref="B1"/>
      <selection pane="bottomLeft" activeCell="A5" sqref="A5"/>
      <selection pane="bottomRight" activeCell="B77" sqref="B77"/>
    </sheetView>
  </sheetViews>
  <sheetFormatPr defaultRowHeight="28.2" x14ac:dyDescent="0.5"/>
  <cols>
    <col min="1" max="1" width="26.3515625" customWidth="1"/>
    <col min="2" max="2" width="16.3515625" bestFit="1" customWidth="1"/>
    <col min="3" max="3" width="23.3515625" bestFit="1" customWidth="1"/>
    <col min="4" max="4" width="16.3515625" bestFit="1" customWidth="1"/>
    <col min="5" max="5" width="14" bestFit="1" customWidth="1"/>
    <col min="6" max="6" width="25.8203125" bestFit="1" customWidth="1"/>
    <col min="7" max="7" width="28.17578125" bestFit="1" customWidth="1"/>
    <col min="8" max="8" width="9.29296875" bestFit="1" customWidth="1"/>
    <col min="9" max="9" width="14" bestFit="1" customWidth="1"/>
    <col min="10" max="10" width="12.8203125" bestFit="1" customWidth="1"/>
    <col min="11" max="11" width="8.17578125" bestFit="1" customWidth="1"/>
    <col min="12" max="12" width="23.3515625" bestFit="1" customWidth="1"/>
    <col min="13" max="13" width="31.703125" bestFit="1" customWidth="1"/>
    <col min="14" max="15" width="9.29296875" bestFit="1" customWidth="1"/>
    <col min="16" max="16" width="11.703125" bestFit="1" customWidth="1"/>
    <col min="17" max="17" width="9.29296875" bestFit="1" customWidth="1"/>
    <col min="18" max="18" width="16.3515625" bestFit="1" customWidth="1"/>
    <col min="19" max="19" width="14" bestFit="1" customWidth="1"/>
    <col min="20" max="20" width="25.8203125" bestFit="1" customWidth="1"/>
    <col min="21" max="21" width="15.29296875" bestFit="1" customWidth="1"/>
    <col min="22" max="22" width="17.52734375" bestFit="1" customWidth="1"/>
    <col min="23" max="23" width="23.3515625" bestFit="1" customWidth="1"/>
    <col min="24" max="24" width="25.8203125" bestFit="1" customWidth="1"/>
    <col min="25" max="26" width="15.29296875" bestFit="1" customWidth="1"/>
    <col min="27" max="27" width="9.29296875" bestFit="1" customWidth="1"/>
    <col min="28" max="28" width="23.3515625" bestFit="1" customWidth="1"/>
    <col min="29" max="29" width="22.29296875" bestFit="1" customWidth="1"/>
    <col min="30" max="31" width="17.52734375" bestFit="1" customWidth="1"/>
    <col min="32" max="32" width="15.29296875" bestFit="1" customWidth="1"/>
    <col min="33" max="33" width="17.52734375" bestFit="1" customWidth="1"/>
    <col min="34" max="34" width="1.17578125" bestFit="1" customWidth="1"/>
    <col min="35" max="51" width="9.05859375" bestFit="1"/>
  </cols>
  <sheetData>
    <row r="1" spans="1:3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/>
      <c r="AH4" s="1"/>
    </row>
    <row r="5" spans="1:34" x14ac:dyDescent="0.5">
      <c r="A5" t="s">
        <v>34</v>
      </c>
      <c r="B5" s="2">
        <v>73195</v>
      </c>
      <c r="C5" s="2">
        <v>1230</v>
      </c>
      <c r="D5" s="2">
        <v>0</v>
      </c>
      <c r="E5" s="2">
        <v>0</v>
      </c>
      <c r="F5" s="2">
        <v>2494</v>
      </c>
      <c r="G5" s="2">
        <v>5061</v>
      </c>
      <c r="H5" s="2">
        <v>94</v>
      </c>
      <c r="I5" s="2">
        <v>10</v>
      </c>
      <c r="J5" s="2">
        <v>654</v>
      </c>
      <c r="K5" s="2">
        <v>8360</v>
      </c>
      <c r="L5" s="2">
        <v>0</v>
      </c>
      <c r="M5" s="2">
        <v>0</v>
      </c>
      <c r="N5" s="2">
        <v>92</v>
      </c>
      <c r="O5" s="2">
        <v>244</v>
      </c>
      <c r="P5" s="2">
        <v>84</v>
      </c>
      <c r="Q5" s="2">
        <v>0</v>
      </c>
      <c r="R5" s="2">
        <v>1182</v>
      </c>
      <c r="S5" s="2">
        <v>10540</v>
      </c>
      <c r="T5" s="2">
        <v>67</v>
      </c>
      <c r="U5" s="2">
        <v>207</v>
      </c>
      <c r="V5" s="2"/>
      <c r="W5" s="2">
        <v>0</v>
      </c>
      <c r="X5" s="2">
        <v>7667</v>
      </c>
      <c r="Y5" s="2">
        <v>0</v>
      </c>
      <c r="Z5" s="2">
        <v>122</v>
      </c>
      <c r="AA5" s="2">
        <v>335</v>
      </c>
      <c r="AB5" s="2">
        <v>52510</v>
      </c>
      <c r="AC5" s="2">
        <v>0</v>
      </c>
      <c r="AD5" s="2">
        <v>0</v>
      </c>
      <c r="AE5" s="2">
        <v>0</v>
      </c>
      <c r="AF5" s="2">
        <v>29670</v>
      </c>
      <c r="AG5" s="2"/>
      <c r="AH5" s="2"/>
    </row>
    <row r="6" spans="1:34" x14ac:dyDescent="0.5">
      <c r="A6" t="s">
        <v>35</v>
      </c>
      <c r="B6" s="2">
        <v>52510</v>
      </c>
      <c r="C6" s="2">
        <v>679</v>
      </c>
      <c r="D6" s="2">
        <v>0</v>
      </c>
      <c r="E6" s="2">
        <v>53289</v>
      </c>
      <c r="F6" s="2">
        <v>8411</v>
      </c>
      <c r="G6" s="2">
        <v>2768</v>
      </c>
      <c r="H6" s="2">
        <v>316</v>
      </c>
      <c r="I6" s="2">
        <v>65</v>
      </c>
      <c r="J6" s="2">
        <v>1224</v>
      </c>
      <c r="K6" s="2">
        <v>8110</v>
      </c>
      <c r="L6" s="2">
        <v>0</v>
      </c>
      <c r="M6" s="2">
        <v>0</v>
      </c>
      <c r="N6" s="2">
        <v>59</v>
      </c>
      <c r="O6" s="2">
        <v>214</v>
      </c>
      <c r="P6" s="2">
        <v>75</v>
      </c>
      <c r="Q6" s="2">
        <v>0</v>
      </c>
      <c r="R6" s="2">
        <v>9226</v>
      </c>
      <c r="S6" s="2">
        <v>2471</v>
      </c>
      <c r="T6" s="2">
        <v>5</v>
      </c>
      <c r="U6" s="2">
        <v>174</v>
      </c>
      <c r="V6" s="2"/>
      <c r="W6" s="2">
        <v>0</v>
      </c>
      <c r="X6" s="2">
        <v>11231</v>
      </c>
      <c r="Y6" s="2">
        <v>0</v>
      </c>
      <c r="Z6" s="2">
        <v>111</v>
      </c>
      <c r="AA6" s="2">
        <v>3813</v>
      </c>
      <c r="AB6" s="2">
        <v>81159</v>
      </c>
      <c r="AC6" s="2">
        <v>0</v>
      </c>
      <c r="AD6" s="2">
        <v>23</v>
      </c>
      <c r="AE6" s="2">
        <v>0</v>
      </c>
      <c r="AF6" s="2">
        <v>27585</v>
      </c>
      <c r="AG6" s="2"/>
      <c r="AH6" s="2"/>
    </row>
    <row r="7" spans="1:34" x14ac:dyDescent="0.5">
      <c r="A7" t="s">
        <v>36</v>
      </c>
      <c r="B7" s="2">
        <v>81159</v>
      </c>
      <c r="C7" s="2">
        <v>6167</v>
      </c>
      <c r="D7" s="2">
        <v>0</v>
      </c>
      <c r="E7" s="2">
        <v>2048</v>
      </c>
      <c r="F7" s="2">
        <v>23559</v>
      </c>
      <c r="G7" s="2">
        <v>4151</v>
      </c>
      <c r="H7" s="2">
        <v>1988</v>
      </c>
      <c r="I7" s="2">
        <v>8</v>
      </c>
      <c r="J7" s="2">
        <v>4180</v>
      </c>
      <c r="K7" s="2">
        <v>8004</v>
      </c>
      <c r="L7" s="2">
        <v>0</v>
      </c>
      <c r="M7" s="2">
        <v>0</v>
      </c>
      <c r="N7" s="2">
        <v>44</v>
      </c>
      <c r="O7" s="2">
        <v>235</v>
      </c>
      <c r="P7" s="2">
        <v>79</v>
      </c>
      <c r="Q7" s="2">
        <v>0</v>
      </c>
      <c r="R7" s="2">
        <v>6782</v>
      </c>
      <c r="S7" s="2">
        <v>1520</v>
      </c>
      <c r="T7" s="2">
        <v>0</v>
      </c>
      <c r="U7" s="2">
        <v>148</v>
      </c>
      <c r="V7" s="2"/>
      <c r="W7" s="2">
        <v>0</v>
      </c>
      <c r="X7" s="2">
        <v>27903</v>
      </c>
      <c r="Y7" s="2">
        <v>0</v>
      </c>
      <c r="Z7" s="2">
        <v>250</v>
      </c>
      <c r="AA7" s="2">
        <v>716</v>
      </c>
      <c r="AB7" s="2">
        <v>69033</v>
      </c>
      <c r="AC7" s="2">
        <v>0</v>
      </c>
      <c r="AD7" s="2">
        <v>0</v>
      </c>
      <c r="AE7" s="2">
        <v>0</v>
      </c>
      <c r="AF7" s="2">
        <v>35403</v>
      </c>
      <c r="AG7" s="2"/>
      <c r="AH7" s="2"/>
    </row>
    <row r="8" spans="1:34" x14ac:dyDescent="0.5">
      <c r="A8" t="s">
        <v>37</v>
      </c>
      <c r="B8" s="2">
        <v>69033</v>
      </c>
      <c r="C8" s="2">
        <v>20987</v>
      </c>
      <c r="D8" s="2">
        <v>0</v>
      </c>
      <c r="E8" s="2">
        <v>1960</v>
      </c>
      <c r="F8" s="2">
        <v>4355</v>
      </c>
      <c r="G8" s="2">
        <v>3564</v>
      </c>
      <c r="H8" s="2">
        <v>318</v>
      </c>
      <c r="I8" s="2">
        <v>117</v>
      </c>
      <c r="J8" s="2">
        <v>1639</v>
      </c>
      <c r="K8" s="2">
        <v>9150</v>
      </c>
      <c r="L8" s="2">
        <v>0</v>
      </c>
      <c r="M8" s="2">
        <v>0</v>
      </c>
      <c r="N8" s="2">
        <v>99</v>
      </c>
      <c r="O8" s="2">
        <v>203</v>
      </c>
      <c r="P8" s="2">
        <v>58</v>
      </c>
      <c r="Q8" s="2">
        <v>0</v>
      </c>
      <c r="R8" s="2">
        <v>3010</v>
      </c>
      <c r="S8" s="2">
        <v>1520</v>
      </c>
      <c r="T8" s="2">
        <v>0</v>
      </c>
      <c r="U8" s="2">
        <v>96</v>
      </c>
      <c r="V8" s="2"/>
      <c r="W8" s="2">
        <v>0</v>
      </c>
      <c r="X8" s="2">
        <v>8170</v>
      </c>
      <c r="Y8" s="2">
        <v>0</v>
      </c>
      <c r="Z8" s="2">
        <v>212</v>
      </c>
      <c r="AA8" s="2">
        <v>868</v>
      </c>
      <c r="AB8" s="2">
        <v>75046</v>
      </c>
      <c r="AC8" s="2">
        <v>0</v>
      </c>
      <c r="AD8" s="2">
        <v>108</v>
      </c>
      <c r="AE8" s="2">
        <v>0</v>
      </c>
      <c r="AF8" s="2">
        <v>32048</v>
      </c>
      <c r="AG8" s="2"/>
      <c r="AH8" s="2"/>
    </row>
    <row r="9" spans="1:34" x14ac:dyDescent="0.5">
      <c r="A9" t="s">
        <v>38</v>
      </c>
      <c r="B9" s="2">
        <v>75046</v>
      </c>
      <c r="C9" s="2">
        <v>8100</v>
      </c>
      <c r="D9" s="2">
        <v>0</v>
      </c>
      <c r="E9" s="2">
        <v>6453</v>
      </c>
      <c r="F9" s="2">
        <v>1050</v>
      </c>
      <c r="G9" s="2">
        <v>5684</v>
      </c>
      <c r="H9" s="2">
        <v>148</v>
      </c>
      <c r="I9" s="2">
        <v>68</v>
      </c>
      <c r="J9" s="2">
        <v>1042</v>
      </c>
      <c r="K9" s="2">
        <v>7832</v>
      </c>
      <c r="L9" s="2">
        <v>0</v>
      </c>
      <c r="M9" s="2">
        <v>0</v>
      </c>
      <c r="N9" s="2">
        <v>88</v>
      </c>
      <c r="O9" s="2">
        <v>293</v>
      </c>
      <c r="P9" s="2">
        <v>91</v>
      </c>
      <c r="Q9" s="2">
        <v>0</v>
      </c>
      <c r="R9" s="2">
        <v>1926</v>
      </c>
      <c r="S9" s="2">
        <v>0</v>
      </c>
      <c r="T9" s="2">
        <v>0</v>
      </c>
      <c r="U9" s="2">
        <v>96</v>
      </c>
      <c r="V9" s="2"/>
      <c r="W9" s="2">
        <v>1025</v>
      </c>
      <c r="X9" s="2">
        <v>5772</v>
      </c>
      <c r="Y9" s="2">
        <v>0</v>
      </c>
      <c r="Z9" s="2">
        <v>193</v>
      </c>
      <c r="AA9" s="2">
        <v>7</v>
      </c>
      <c r="AB9" s="2">
        <v>77923</v>
      </c>
      <c r="AC9" s="2">
        <v>0</v>
      </c>
      <c r="AD9" s="2">
        <v>60</v>
      </c>
      <c r="AE9" s="2">
        <v>0</v>
      </c>
      <c r="AF9" s="2">
        <v>30894</v>
      </c>
      <c r="AG9" s="2"/>
      <c r="AH9" s="2"/>
    </row>
    <row r="10" spans="1:34" x14ac:dyDescent="0.5">
      <c r="A10" t="s">
        <v>39</v>
      </c>
      <c r="B10" s="2">
        <v>77923</v>
      </c>
      <c r="C10" s="2">
        <v>5613</v>
      </c>
      <c r="D10" s="2">
        <v>0</v>
      </c>
      <c r="E10" s="2">
        <v>0</v>
      </c>
      <c r="F10" s="2">
        <v>4524</v>
      </c>
      <c r="G10" s="2">
        <v>4588</v>
      </c>
      <c r="H10" s="2">
        <v>27</v>
      </c>
      <c r="I10" s="2">
        <v>95</v>
      </c>
      <c r="J10" s="2">
        <v>3578</v>
      </c>
      <c r="K10" s="2">
        <v>7931</v>
      </c>
      <c r="L10" s="2">
        <v>0</v>
      </c>
      <c r="M10" s="2">
        <v>0</v>
      </c>
      <c r="N10" s="2">
        <v>87</v>
      </c>
      <c r="O10" s="2">
        <v>258</v>
      </c>
      <c r="P10" s="2">
        <v>126</v>
      </c>
      <c r="Q10" s="2">
        <v>0</v>
      </c>
      <c r="R10" s="2">
        <v>7812</v>
      </c>
      <c r="S10" s="2">
        <v>0</v>
      </c>
      <c r="T10" s="2">
        <v>0</v>
      </c>
      <c r="U10" s="2">
        <v>54</v>
      </c>
      <c r="V10" s="2"/>
      <c r="W10" s="2">
        <v>4531</v>
      </c>
      <c r="X10" s="2">
        <v>4638</v>
      </c>
      <c r="Y10" s="2">
        <v>0</v>
      </c>
      <c r="Z10" s="2">
        <v>138</v>
      </c>
      <c r="AA10" s="2">
        <v>828</v>
      </c>
      <c r="AB10" s="2">
        <v>62565</v>
      </c>
      <c r="AC10" s="2">
        <v>0</v>
      </c>
      <c r="AD10" s="2">
        <v>77</v>
      </c>
      <c r="AE10" s="2">
        <v>0</v>
      </c>
      <c r="AF10" s="2">
        <v>24706</v>
      </c>
      <c r="AG10" s="2"/>
      <c r="AH10" s="2"/>
    </row>
    <row r="11" spans="1:34" x14ac:dyDescent="0.5">
      <c r="A11" t="s">
        <v>40</v>
      </c>
      <c r="B11" s="2">
        <v>62565</v>
      </c>
      <c r="C11" s="2">
        <v>2728</v>
      </c>
      <c r="D11" s="2">
        <v>0</v>
      </c>
      <c r="E11" s="2">
        <v>35743</v>
      </c>
      <c r="F11" s="2">
        <v>10787</v>
      </c>
      <c r="G11" s="2">
        <v>5368</v>
      </c>
      <c r="H11" s="2">
        <v>264</v>
      </c>
      <c r="I11" s="2">
        <v>236</v>
      </c>
      <c r="J11" s="2">
        <v>3904</v>
      </c>
      <c r="K11" s="2">
        <v>8379</v>
      </c>
      <c r="L11" s="2">
        <v>0</v>
      </c>
      <c r="M11" s="2">
        <v>0</v>
      </c>
      <c r="N11" s="2">
        <v>83</v>
      </c>
      <c r="O11" s="2">
        <v>253</v>
      </c>
      <c r="P11" s="2">
        <v>88</v>
      </c>
      <c r="Q11" s="2">
        <v>0</v>
      </c>
      <c r="R11" s="2">
        <v>3901</v>
      </c>
      <c r="S11" s="2">
        <v>0</v>
      </c>
      <c r="T11" s="2">
        <v>0</v>
      </c>
      <c r="U11" s="2">
        <v>39</v>
      </c>
      <c r="V11" s="2"/>
      <c r="W11" s="2">
        <v>0</v>
      </c>
      <c r="X11" s="2">
        <v>16048</v>
      </c>
      <c r="Y11" s="2">
        <v>0</v>
      </c>
      <c r="Z11" s="2">
        <v>10</v>
      </c>
      <c r="AA11" s="2">
        <v>243</v>
      </c>
      <c r="AB11" s="2">
        <v>84271</v>
      </c>
      <c r="AC11" s="2">
        <v>0</v>
      </c>
      <c r="AD11" s="2">
        <v>135</v>
      </c>
      <c r="AE11" s="2">
        <v>0</v>
      </c>
      <c r="AF11" s="2">
        <v>25621</v>
      </c>
      <c r="AG11" s="2"/>
      <c r="AH11" s="2"/>
    </row>
    <row r="12" spans="1:34" x14ac:dyDescent="0.5">
      <c r="A12" t="s">
        <v>41</v>
      </c>
      <c r="B12" s="2">
        <v>84271</v>
      </c>
      <c r="C12" s="2">
        <v>1195</v>
      </c>
      <c r="D12" s="2">
        <v>0</v>
      </c>
      <c r="E12" s="2">
        <v>28038</v>
      </c>
      <c r="F12" s="2">
        <v>30263</v>
      </c>
      <c r="G12" s="2">
        <v>4513</v>
      </c>
      <c r="H12" s="2">
        <v>283</v>
      </c>
      <c r="I12" s="2">
        <v>1041</v>
      </c>
      <c r="J12" s="2">
        <v>3461</v>
      </c>
      <c r="K12" s="2">
        <v>8091</v>
      </c>
      <c r="L12" s="2">
        <v>0</v>
      </c>
      <c r="M12" s="2">
        <v>0</v>
      </c>
      <c r="N12" s="2">
        <v>103</v>
      </c>
      <c r="O12" s="2">
        <v>269</v>
      </c>
      <c r="P12" s="2">
        <v>119</v>
      </c>
      <c r="Q12" s="2">
        <v>0</v>
      </c>
      <c r="R12" s="2">
        <v>2033</v>
      </c>
      <c r="S12" s="2">
        <v>5758</v>
      </c>
      <c r="T12" s="2">
        <v>0</v>
      </c>
      <c r="U12" s="2">
        <v>55</v>
      </c>
      <c r="V12" s="2"/>
      <c r="W12" s="2">
        <v>0</v>
      </c>
      <c r="X12" s="2">
        <v>35098</v>
      </c>
      <c r="Y12" s="2">
        <v>0</v>
      </c>
      <c r="Z12" s="2">
        <v>196</v>
      </c>
      <c r="AA12" s="2">
        <v>345</v>
      </c>
      <c r="AB12" s="2">
        <v>91790</v>
      </c>
      <c r="AC12" s="2">
        <v>0</v>
      </c>
      <c r="AD12" s="2">
        <v>335</v>
      </c>
      <c r="AE12" s="2">
        <v>0</v>
      </c>
      <c r="AF12" s="2">
        <v>43852</v>
      </c>
      <c r="AG12" s="2"/>
      <c r="AH12" s="2"/>
    </row>
    <row r="13" spans="1:34" x14ac:dyDescent="0.5">
      <c r="A13" t="s">
        <v>42</v>
      </c>
      <c r="B13" s="2">
        <v>91790</v>
      </c>
      <c r="C13" s="2">
        <v>1733</v>
      </c>
      <c r="D13" s="2">
        <v>0</v>
      </c>
      <c r="E13" s="2">
        <v>15353</v>
      </c>
      <c r="F13" s="2">
        <v>76</v>
      </c>
      <c r="G13" s="2">
        <v>6456</v>
      </c>
      <c r="H13" s="2">
        <v>142</v>
      </c>
      <c r="I13" s="2">
        <v>1252</v>
      </c>
      <c r="J13" s="2">
        <v>3053</v>
      </c>
      <c r="K13" s="2">
        <v>9372</v>
      </c>
      <c r="L13" s="2">
        <v>0</v>
      </c>
      <c r="M13" s="2">
        <v>0</v>
      </c>
      <c r="N13" s="2">
        <v>72</v>
      </c>
      <c r="O13" s="2">
        <v>369</v>
      </c>
      <c r="P13" s="2">
        <v>68</v>
      </c>
      <c r="Q13" s="2">
        <v>0</v>
      </c>
      <c r="R13" s="2">
        <v>3</v>
      </c>
      <c r="S13" s="2">
        <v>10485</v>
      </c>
      <c r="T13" s="2">
        <v>0</v>
      </c>
      <c r="U13" s="2">
        <v>96</v>
      </c>
      <c r="V13" s="2"/>
      <c r="W13" s="2">
        <v>0</v>
      </c>
      <c r="X13" s="2">
        <v>6518</v>
      </c>
      <c r="Y13" s="2">
        <v>0</v>
      </c>
      <c r="Z13" s="2">
        <v>555</v>
      </c>
      <c r="AA13" s="2">
        <v>140</v>
      </c>
      <c r="AB13" s="2">
        <v>83493</v>
      </c>
      <c r="AC13" s="2">
        <v>0</v>
      </c>
      <c r="AD13" s="2">
        <v>572</v>
      </c>
      <c r="AE13" s="2">
        <v>0</v>
      </c>
      <c r="AF13" s="2">
        <v>35700</v>
      </c>
      <c r="AG13" s="2"/>
      <c r="AH13" s="2"/>
    </row>
    <row r="14" spans="1:34" x14ac:dyDescent="0.5">
      <c r="A14" t="s">
        <v>43</v>
      </c>
      <c r="B14" s="2">
        <v>83493</v>
      </c>
      <c r="C14" s="2">
        <v>1930</v>
      </c>
      <c r="D14" s="2">
        <v>0</v>
      </c>
      <c r="E14" s="2">
        <v>0</v>
      </c>
      <c r="F14" s="2">
        <v>0</v>
      </c>
      <c r="G14" s="2">
        <v>3443</v>
      </c>
      <c r="H14" s="2">
        <v>937</v>
      </c>
      <c r="I14" s="2">
        <v>823</v>
      </c>
      <c r="J14" s="2">
        <v>909</v>
      </c>
      <c r="K14" s="2">
        <v>7710</v>
      </c>
      <c r="L14" s="2">
        <v>0</v>
      </c>
      <c r="M14" s="2">
        <v>0</v>
      </c>
      <c r="N14" s="2">
        <v>76</v>
      </c>
      <c r="O14" s="2">
        <v>254</v>
      </c>
      <c r="P14" s="2">
        <v>68</v>
      </c>
      <c r="Q14" s="2">
        <v>0</v>
      </c>
      <c r="R14" s="2">
        <v>13252</v>
      </c>
      <c r="S14" s="2">
        <v>2740</v>
      </c>
      <c r="T14" s="2">
        <v>77</v>
      </c>
      <c r="U14" s="2">
        <v>79</v>
      </c>
      <c r="V14" s="2"/>
      <c r="W14" s="2">
        <v>0</v>
      </c>
      <c r="X14" s="2">
        <v>3696</v>
      </c>
      <c r="Y14" s="2">
        <v>0</v>
      </c>
      <c r="Z14" s="2">
        <v>12</v>
      </c>
      <c r="AA14" s="2">
        <v>128</v>
      </c>
      <c r="AB14" s="2">
        <v>59944</v>
      </c>
      <c r="AC14" s="2">
        <v>0</v>
      </c>
      <c r="AD14" s="2">
        <v>387</v>
      </c>
      <c r="AE14" s="2">
        <v>0</v>
      </c>
      <c r="AF14" s="2">
        <v>31246</v>
      </c>
      <c r="AG14" s="2"/>
      <c r="AH14" s="2"/>
    </row>
    <row r="15" spans="1:34" x14ac:dyDescent="0.5">
      <c r="A15" t="s">
        <v>44</v>
      </c>
      <c r="B15" s="2">
        <v>59944</v>
      </c>
      <c r="C15" s="2">
        <v>1447</v>
      </c>
      <c r="D15" s="2">
        <v>0</v>
      </c>
      <c r="E15" s="2">
        <v>25</v>
      </c>
      <c r="F15" s="2">
        <v>28</v>
      </c>
      <c r="G15" s="2">
        <v>5649</v>
      </c>
      <c r="H15" s="2">
        <v>0</v>
      </c>
      <c r="I15" s="2">
        <v>780</v>
      </c>
      <c r="J15" s="2">
        <v>1238</v>
      </c>
      <c r="K15" s="2">
        <v>6951</v>
      </c>
      <c r="L15" s="2">
        <v>0</v>
      </c>
      <c r="M15" s="2">
        <v>0</v>
      </c>
      <c r="N15" s="2">
        <v>72</v>
      </c>
      <c r="O15" s="2">
        <v>298</v>
      </c>
      <c r="P15" s="2">
        <v>77</v>
      </c>
      <c r="Q15" s="2">
        <v>0</v>
      </c>
      <c r="R15" s="2">
        <v>2784</v>
      </c>
      <c r="S15" s="2">
        <v>0</v>
      </c>
      <c r="T15" s="2">
        <v>32</v>
      </c>
      <c r="U15" s="2">
        <v>45</v>
      </c>
      <c r="V15" s="2"/>
      <c r="W15" s="2">
        <v>0</v>
      </c>
      <c r="X15" s="2">
        <v>5911</v>
      </c>
      <c r="Y15" s="2">
        <v>0</v>
      </c>
      <c r="Z15" s="2">
        <v>163</v>
      </c>
      <c r="AA15" s="2">
        <v>2099</v>
      </c>
      <c r="AB15" s="2">
        <v>46643</v>
      </c>
      <c r="AC15" s="2">
        <v>0</v>
      </c>
      <c r="AD15" s="2">
        <v>328</v>
      </c>
      <c r="AE15" s="2">
        <v>0</v>
      </c>
      <c r="AF15" s="2">
        <v>26469</v>
      </c>
      <c r="AG15" s="2"/>
      <c r="AH15" s="2"/>
    </row>
    <row r="16" spans="1:34" x14ac:dyDescent="0.5">
      <c r="A16" t="s">
        <v>45</v>
      </c>
      <c r="B16" s="2">
        <v>46643</v>
      </c>
      <c r="C16" s="2">
        <v>792</v>
      </c>
      <c r="D16" s="2">
        <v>0</v>
      </c>
      <c r="E16" s="2">
        <v>0</v>
      </c>
      <c r="F16" s="2">
        <v>0</v>
      </c>
      <c r="G16" s="2">
        <v>4952</v>
      </c>
      <c r="H16" s="2">
        <v>95</v>
      </c>
      <c r="I16" s="2">
        <v>715</v>
      </c>
      <c r="J16" s="2">
        <v>3769</v>
      </c>
      <c r="K16" s="2">
        <v>7178</v>
      </c>
      <c r="L16" s="2">
        <v>0</v>
      </c>
      <c r="M16" s="2">
        <v>0</v>
      </c>
      <c r="N16" s="2">
        <v>62</v>
      </c>
      <c r="O16" s="2">
        <v>337</v>
      </c>
      <c r="P16" s="2">
        <v>48</v>
      </c>
      <c r="Q16" s="2">
        <v>0</v>
      </c>
      <c r="R16" s="2">
        <v>510</v>
      </c>
      <c r="S16" s="2">
        <v>0</v>
      </c>
      <c r="T16" s="2">
        <v>0</v>
      </c>
      <c r="U16" s="2">
        <v>72</v>
      </c>
      <c r="V16" s="2"/>
      <c r="W16" s="2">
        <v>0</v>
      </c>
      <c r="X16" s="2">
        <v>4827</v>
      </c>
      <c r="Y16" s="2">
        <v>0</v>
      </c>
      <c r="Z16" s="2">
        <v>151</v>
      </c>
      <c r="AA16" s="2">
        <v>475</v>
      </c>
      <c r="AB16" s="2">
        <v>34338</v>
      </c>
      <c r="AC16" s="2">
        <v>0</v>
      </c>
      <c r="AD16" s="2">
        <v>116</v>
      </c>
      <c r="AE16" s="2">
        <v>0</v>
      </c>
      <c r="AF16" s="2">
        <v>19351</v>
      </c>
      <c r="AG16" s="2"/>
      <c r="AH16" s="2"/>
    </row>
    <row r="17" spans="1:34" x14ac:dyDescent="0.5">
      <c r="A17" s="1"/>
      <c r="B17" s="3"/>
      <c r="C17" s="4">
        <f t="shared" ref="C17:U17" si="0">SUM(C5:C16)</f>
        <v>52601</v>
      </c>
      <c r="D17" s="5">
        <f t="shared" si="0"/>
        <v>0</v>
      </c>
      <c r="E17" s="5">
        <f t="shared" si="0"/>
        <v>142909</v>
      </c>
      <c r="F17" s="5">
        <f t="shared" si="0"/>
        <v>85547</v>
      </c>
      <c r="G17" s="5">
        <f t="shared" si="0"/>
        <v>56197</v>
      </c>
      <c r="H17" s="5">
        <f t="shared" si="0"/>
        <v>4612</v>
      </c>
      <c r="I17" s="5">
        <f t="shared" si="0"/>
        <v>5210</v>
      </c>
      <c r="J17" s="5">
        <f t="shared" si="0"/>
        <v>28651</v>
      </c>
      <c r="K17" s="5">
        <f t="shared" si="0"/>
        <v>97068</v>
      </c>
      <c r="L17" s="5">
        <f t="shared" si="0"/>
        <v>0</v>
      </c>
      <c r="M17" s="5">
        <f t="shared" si="0"/>
        <v>0</v>
      </c>
      <c r="N17" s="5">
        <f t="shared" si="0"/>
        <v>937</v>
      </c>
      <c r="O17" s="5">
        <f t="shared" si="0"/>
        <v>3227</v>
      </c>
      <c r="P17" s="5">
        <f t="shared" si="0"/>
        <v>981</v>
      </c>
      <c r="Q17" s="5">
        <f t="shared" si="0"/>
        <v>0</v>
      </c>
      <c r="R17" s="5">
        <f t="shared" si="0"/>
        <v>52421</v>
      </c>
      <c r="S17" s="5">
        <f t="shared" si="0"/>
        <v>35034</v>
      </c>
      <c r="T17" s="5">
        <f t="shared" si="0"/>
        <v>181</v>
      </c>
      <c r="U17" s="5">
        <f t="shared" si="0"/>
        <v>1161</v>
      </c>
      <c r="V17" s="5"/>
      <c r="W17" s="5">
        <f>SUM(W5:W16)</f>
        <v>5556</v>
      </c>
      <c r="X17" s="5">
        <f>SUM(X5:X16)</f>
        <v>137479</v>
      </c>
      <c r="Y17" s="5">
        <f>SUM(Y5:Y16)</f>
        <v>0</v>
      </c>
      <c r="Z17" s="5">
        <f>SUM(Z5:Z16)</f>
        <v>2113</v>
      </c>
      <c r="AA17" s="5">
        <f>SUM(AA5:AB16)</f>
        <v>828712</v>
      </c>
      <c r="AB17" s="5"/>
      <c r="AC17" s="5">
        <f>SUM(AC5:AC16)</f>
        <v>0</v>
      </c>
      <c r="AD17" s="5">
        <f>SUM(AD5:AD16)</f>
        <v>2141</v>
      </c>
      <c r="AE17" s="5">
        <f>SUM(AE5:AE16)</f>
        <v>0</v>
      </c>
      <c r="AF17" s="6"/>
      <c r="AG17" s="3"/>
      <c r="AH17" s="3"/>
    </row>
    <row r="18" spans="1:34" x14ac:dyDescent="0.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5">
      <c r="A20" s="1" t="s">
        <v>46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5">
      <c r="A21" s="1" t="s">
        <v>2</v>
      </c>
      <c r="B21" s="1" t="s">
        <v>3</v>
      </c>
      <c r="C21" s="1" t="s">
        <v>4</v>
      </c>
      <c r="D21" s="1" t="s">
        <v>5</v>
      </c>
      <c r="E21" s="1" t="s">
        <v>6</v>
      </c>
      <c r="F21" s="1" t="s">
        <v>7</v>
      </c>
      <c r="G21" s="1" t="s">
        <v>8</v>
      </c>
      <c r="H21" s="1" t="s">
        <v>9</v>
      </c>
      <c r="I21" s="1" t="s">
        <v>10</v>
      </c>
      <c r="J21" s="1" t="s">
        <v>11</v>
      </c>
      <c r="K21" s="1" t="s">
        <v>12</v>
      </c>
      <c r="L21" s="1" t="s">
        <v>13</v>
      </c>
      <c r="M21" s="1" t="s">
        <v>14</v>
      </c>
      <c r="N21" s="1" t="s">
        <v>15</v>
      </c>
      <c r="O21" s="1" t="s">
        <v>16</v>
      </c>
      <c r="P21" s="1" t="s">
        <v>17</v>
      </c>
      <c r="Q21" s="1" t="s">
        <v>18</v>
      </c>
      <c r="R21" s="1" t="s">
        <v>19</v>
      </c>
      <c r="S21" s="1" t="s">
        <v>20</v>
      </c>
      <c r="T21" s="1" t="s">
        <v>21</v>
      </c>
      <c r="U21" s="1" t="s">
        <v>22</v>
      </c>
      <c r="V21" s="1" t="s">
        <v>23</v>
      </c>
      <c r="W21" s="1" t="s">
        <v>24</v>
      </c>
      <c r="X21" s="1" t="s">
        <v>25</v>
      </c>
      <c r="Y21" s="1" t="s">
        <v>26</v>
      </c>
      <c r="Z21" s="1" t="s">
        <v>27</v>
      </c>
      <c r="AA21" s="1" t="s">
        <v>28</v>
      </c>
      <c r="AB21" s="1" t="s">
        <v>47</v>
      </c>
      <c r="AC21" s="1" t="s">
        <v>48</v>
      </c>
      <c r="AD21" s="1" t="s">
        <v>49</v>
      </c>
      <c r="AE21" s="1" t="s">
        <v>50</v>
      </c>
      <c r="AF21" s="1" t="s">
        <v>31</v>
      </c>
      <c r="AG21" s="1" t="s">
        <v>32</v>
      </c>
      <c r="AH21" s="1"/>
    </row>
    <row r="22" spans="1:34" x14ac:dyDescent="0.5">
      <c r="A22" t="s">
        <v>34</v>
      </c>
      <c r="B22" s="2"/>
      <c r="C22" s="2"/>
      <c r="D22" s="2"/>
      <c r="E22" s="2"/>
      <c r="F22" s="2"/>
      <c r="G22" s="2"/>
      <c r="H22" s="2"/>
      <c r="I22" s="2"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5">
      <c r="A23" t="s">
        <v>35</v>
      </c>
      <c r="B23" s="2"/>
      <c r="C23" s="2"/>
      <c r="D23" s="2"/>
      <c r="E23" s="2"/>
      <c r="F23" s="2"/>
      <c r="G23" s="2"/>
      <c r="H23" s="2"/>
      <c r="I23" s="2">
        <v>36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5">
      <c r="A24" t="s">
        <v>36</v>
      </c>
      <c r="B24" s="2"/>
      <c r="C24" s="2"/>
      <c r="D24" s="2"/>
      <c r="E24" s="2"/>
      <c r="F24" s="2"/>
      <c r="G24" s="2"/>
      <c r="H24" s="2"/>
      <c r="I24" s="2">
        <v>170</v>
      </c>
      <c r="K24" s="2"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5">
      <c r="A25" t="s">
        <v>37</v>
      </c>
      <c r="B25" s="2"/>
      <c r="C25" s="2"/>
      <c r="D25" s="2"/>
      <c r="E25" s="2"/>
      <c r="F25" s="2"/>
      <c r="G25" s="2"/>
      <c r="H25" s="2"/>
      <c r="I25" s="2"/>
      <c r="K25" s="2">
        <v>29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5">
      <c r="A26" t="s">
        <v>38</v>
      </c>
      <c r="B26" s="2"/>
      <c r="C26" s="2"/>
      <c r="D26" s="2"/>
      <c r="E26" s="2"/>
      <c r="F26" s="2"/>
      <c r="G26" s="2"/>
      <c r="H26" s="2"/>
      <c r="I26" s="2"/>
      <c r="K26" s="2">
        <v>125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5">
      <c r="A27" t="s">
        <v>39</v>
      </c>
      <c r="B27" s="2"/>
      <c r="C27" s="2"/>
      <c r="D27" s="2"/>
      <c r="E27" s="2"/>
      <c r="F27" s="2"/>
      <c r="G27" s="2"/>
      <c r="H27" s="2"/>
      <c r="I27" s="2"/>
      <c r="K27" s="2">
        <v>34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x14ac:dyDescent="0.5">
      <c r="A28" t="s">
        <v>40</v>
      </c>
      <c r="B28" s="2"/>
      <c r="C28" s="2"/>
      <c r="D28" s="2"/>
      <c r="E28" s="2"/>
      <c r="F28" s="2"/>
      <c r="G28" s="2"/>
      <c r="H28" s="2"/>
      <c r="I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x14ac:dyDescent="0.5">
      <c r="A29" t="s">
        <v>41</v>
      </c>
      <c r="B29" s="2"/>
      <c r="C29" s="2"/>
      <c r="D29" s="2"/>
      <c r="E29" s="2"/>
      <c r="F29" s="2"/>
      <c r="G29" s="2"/>
      <c r="H29" s="2"/>
      <c r="I29" s="2">
        <v>172</v>
      </c>
      <c r="K29" s="2">
        <v>32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5">
      <c r="A30" t="s">
        <v>42</v>
      </c>
      <c r="B30" s="2"/>
      <c r="C30" s="2"/>
      <c r="D30" s="2"/>
      <c r="E30" s="2"/>
      <c r="F30" s="2"/>
      <c r="G30" s="2"/>
      <c r="H30" s="2"/>
      <c r="I30" s="2">
        <v>34</v>
      </c>
      <c r="K30" s="2">
        <v>40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5">
      <c r="A31" t="s">
        <v>43</v>
      </c>
      <c r="B31" s="2"/>
      <c r="C31" s="2"/>
      <c r="D31" s="2"/>
      <c r="E31" s="2"/>
      <c r="F31" s="2"/>
      <c r="G31" s="2"/>
      <c r="H31" s="2"/>
      <c r="I31" s="2"/>
      <c r="K31" s="2">
        <v>35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5">
      <c r="A32" t="s">
        <v>44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5">
      <c r="A33" t="s">
        <v>45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5">
      <c r="A34" s="1"/>
      <c r="B34" s="3"/>
      <c r="C34" s="4">
        <f t="shared" ref="C34:AA34" si="1">SUM(C22:C33)</f>
        <v>0</v>
      </c>
      <c r="D34" s="5">
        <f t="shared" si="1"/>
        <v>0</v>
      </c>
      <c r="E34" s="5">
        <f t="shared" si="1"/>
        <v>0</v>
      </c>
      <c r="F34" s="5">
        <f t="shared" si="1"/>
        <v>0</v>
      </c>
      <c r="G34" s="5">
        <f t="shared" si="1"/>
        <v>0</v>
      </c>
      <c r="H34" s="5">
        <f t="shared" si="1"/>
        <v>0</v>
      </c>
      <c r="I34" s="5">
        <f t="shared" si="1"/>
        <v>412</v>
      </c>
      <c r="J34" s="5">
        <f t="shared" si="1"/>
        <v>0</v>
      </c>
      <c r="K34" s="5">
        <f t="shared" si="1"/>
        <v>295</v>
      </c>
      <c r="L34" s="5">
        <f t="shared" si="1"/>
        <v>0</v>
      </c>
      <c r="M34" s="5">
        <f t="shared" si="1"/>
        <v>0</v>
      </c>
      <c r="N34" s="5">
        <f t="shared" si="1"/>
        <v>0</v>
      </c>
      <c r="O34" s="5">
        <f t="shared" si="1"/>
        <v>0</v>
      </c>
      <c r="P34" s="5">
        <f t="shared" si="1"/>
        <v>0</v>
      </c>
      <c r="Q34" s="5">
        <f t="shared" si="1"/>
        <v>0</v>
      </c>
      <c r="R34" s="5">
        <f t="shared" si="1"/>
        <v>0</v>
      </c>
      <c r="S34" s="5">
        <f t="shared" si="1"/>
        <v>0</v>
      </c>
      <c r="T34" s="5">
        <f t="shared" si="1"/>
        <v>0</v>
      </c>
      <c r="U34" s="5">
        <f t="shared" si="1"/>
        <v>0</v>
      </c>
      <c r="V34" s="5">
        <f t="shared" si="1"/>
        <v>0</v>
      </c>
      <c r="W34" s="5">
        <f t="shared" si="1"/>
        <v>0</v>
      </c>
      <c r="X34" s="5">
        <f t="shared" si="1"/>
        <v>0</v>
      </c>
      <c r="Y34" s="5">
        <f t="shared" si="1"/>
        <v>0</v>
      </c>
      <c r="Z34" s="5">
        <f t="shared" si="1"/>
        <v>0</v>
      </c>
      <c r="AA34" s="5">
        <f t="shared" si="1"/>
        <v>0</v>
      </c>
      <c r="AB34" s="5"/>
      <c r="AC34" s="5"/>
      <c r="AD34" s="5">
        <f>SUM(AD22:AD33)</f>
        <v>0</v>
      </c>
      <c r="AE34" s="5">
        <f>SUM(AE22:AE33)</f>
        <v>0</v>
      </c>
      <c r="AF34" s="5">
        <f>SUM(AF22:AF33)</f>
        <v>0</v>
      </c>
      <c r="AG34" s="6">
        <f>SUM(AG22:AG33)</f>
        <v>0</v>
      </c>
      <c r="AH34" s="3"/>
    </row>
    <row r="35" spans="1:34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5">
      <c r="A37" s="1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5">
      <c r="A38" s="1" t="s">
        <v>2</v>
      </c>
      <c r="B38" s="1" t="s">
        <v>3</v>
      </c>
      <c r="C38" s="1" t="s">
        <v>4</v>
      </c>
      <c r="D38" s="1" t="s">
        <v>5</v>
      </c>
      <c r="E38" s="1" t="s">
        <v>6</v>
      </c>
      <c r="F38" s="1" t="s">
        <v>7</v>
      </c>
      <c r="G38" s="1" t="s">
        <v>8</v>
      </c>
      <c r="H38" s="1" t="s">
        <v>9</v>
      </c>
      <c r="I38" s="1" t="s">
        <v>10</v>
      </c>
      <c r="J38" s="1" t="s">
        <v>11</v>
      </c>
      <c r="K38" s="1" t="s">
        <v>12</v>
      </c>
      <c r="L38" s="1" t="s">
        <v>13</v>
      </c>
      <c r="M38" s="1" t="s">
        <v>14</v>
      </c>
      <c r="N38" s="1" t="s">
        <v>15</v>
      </c>
      <c r="O38" s="1" t="s">
        <v>16</v>
      </c>
      <c r="P38" s="1" t="s">
        <v>17</v>
      </c>
      <c r="Q38" s="1" t="s">
        <v>18</v>
      </c>
      <c r="R38" s="1" t="s">
        <v>19</v>
      </c>
      <c r="S38" s="1" t="s">
        <v>20</v>
      </c>
      <c r="T38" s="1" t="s">
        <v>21</v>
      </c>
      <c r="U38" s="1" t="s">
        <v>22</v>
      </c>
      <c r="V38" s="1" t="s">
        <v>23</v>
      </c>
      <c r="W38" s="1" t="s">
        <v>24</v>
      </c>
      <c r="X38" s="1" t="s">
        <v>25</v>
      </c>
      <c r="Y38" s="1" t="s">
        <v>26</v>
      </c>
      <c r="Z38" s="1" t="s">
        <v>27</v>
      </c>
      <c r="AA38" s="1" t="s">
        <v>28</v>
      </c>
      <c r="AB38" s="1" t="s">
        <v>47</v>
      </c>
      <c r="AC38" s="1" t="s">
        <v>52</v>
      </c>
      <c r="AD38" s="1" t="s">
        <v>31</v>
      </c>
      <c r="AE38" s="1" t="s">
        <v>32</v>
      </c>
      <c r="AF38" s="1" t="s">
        <v>53</v>
      </c>
      <c r="AG38" s="1" t="s">
        <v>54</v>
      </c>
      <c r="AH38" s="1"/>
    </row>
    <row r="39" spans="1:34" x14ac:dyDescent="0.5">
      <c r="A39" t="str">
        <f t="shared" ref="A39:A50" si="2">A5</f>
        <v>2016/03/01</v>
      </c>
      <c r="B39" s="2">
        <f>IF(A39=0,"",SUMIF(A22:A33,A5,B22:B33) + B5)</f>
        <v>73195</v>
      </c>
      <c r="C39" s="2">
        <f>IF(A39=0,"",SUMIF(A22:A33,A5,C22:C33) + C5)</f>
        <v>1230</v>
      </c>
      <c r="D39" s="2">
        <f>IF(A39=0,"",SUMIF(A22:A33,A5,D22:D33) + D5)</f>
        <v>0</v>
      </c>
      <c r="E39" s="2">
        <f>IF(A39=0,"",SUMIF(A22:A33,A5,E22:E33) + E5)</f>
        <v>0</v>
      </c>
      <c r="F39" s="2">
        <f>IF(A39=0,"",SUMIF(A22:A33,A5,F22:F33) + F5)</f>
        <v>2494</v>
      </c>
      <c r="G39" s="2">
        <f>IF(A39=0,"",SUMIF(A22:A33,A5,G22:G33) + G5)</f>
        <v>5061</v>
      </c>
      <c r="H39" s="2">
        <f>IF(A39=0,"",SUMIF(A22:A33,A5,H22:H33) + H5)</f>
        <v>94</v>
      </c>
      <c r="I39" s="2">
        <f>IF(A39=0,"",SUMIF(A22:A33,A5,I22:I33) + I5)</f>
        <v>10</v>
      </c>
      <c r="J39" s="2">
        <f>IF(A39=0,"",SUMIF(A22:A33,A5,J22:J33) + J5)</f>
        <v>654</v>
      </c>
      <c r="K39" s="2">
        <f>IF(A39=0,"",SUMIF(A22:A33,A5,K22:K33) + K5)</f>
        <v>8360</v>
      </c>
      <c r="L39" s="2">
        <f>IF(A39=0,"",SUMIF(A22:A33,A5,L22:L33) + L5)</f>
        <v>0</v>
      </c>
      <c r="M39" s="2">
        <f>IF(A39=0,"",SUMIF(A22:A33,A5,M22:M33) + M5)</f>
        <v>0</v>
      </c>
      <c r="N39" s="2">
        <f>IF(A39=0,"",SUMIF(A22:A33,A5,N22:N33) + N5)</f>
        <v>92</v>
      </c>
      <c r="O39" s="2">
        <f>IF(A39=0,"",SUMIF(A22:A33,A5,O22:O33) + O5)</f>
        <v>244</v>
      </c>
      <c r="P39" s="2">
        <f>IF(A39=0,"",SUMIF(A22:A33,A5,P22:P33) + P5)</f>
        <v>84</v>
      </c>
      <c r="Q39" s="2">
        <f>IF(A39=0,"",SUMIF(A22:A33,A5,Q22:Q33) + Q5)</f>
        <v>0</v>
      </c>
      <c r="R39" s="2">
        <f>IF(A39=0,"",SUMIF(A22:A33,A5,R22:R33) + R5)</f>
        <v>1182</v>
      </c>
      <c r="S39" s="2">
        <f>IF(A39=0,"",SUMIF(A22:A33,A5,S22:S33) + S5)</f>
        <v>10540</v>
      </c>
      <c r="T39" s="2">
        <f>IF(A39=0,"",SUMIF(A22:A33,A5,T22:T33) + T5)</f>
        <v>67</v>
      </c>
      <c r="U39" s="2">
        <f>IF(A39=0,"",SUMIF(A22:A33,A5,U22:U33) + U5)</f>
        <v>207</v>
      </c>
      <c r="V39" s="2">
        <f>IF(A39=0,"",SUMIF(A22:A33,A5,V22:V33) + V5)</f>
        <v>0</v>
      </c>
      <c r="W39" s="2">
        <f>IF(A39=0,"",SUMIF(A22:A33,A5,W22:W33) + W5)</f>
        <v>0</v>
      </c>
      <c r="X39" s="2">
        <f>IF(A39=0,"",SUMIF(A22:A33,A5,X22:X33) + X5)</f>
        <v>7667</v>
      </c>
      <c r="Y39" s="2">
        <f>IF(A39=0,"",SUMIF(A22:A33,A5,Y22:Y33) + Y5)</f>
        <v>0</v>
      </c>
      <c r="Z39" s="2">
        <f>IF(A39=0,"",SUMIF(A22:A33,A5,Z22:Z33) + Z5)</f>
        <v>122</v>
      </c>
      <c r="AA39" s="2">
        <f>IF(A39=0,"",SUMIF(A22:A33,A5,AA22:AA33) + AA5)</f>
        <v>335</v>
      </c>
      <c r="AB39" s="2">
        <f>IFERROR(IF(A39=0,"",SUMIF(A22:A33,A5,AB22:AB33) + AB5 - AF5) + SUMIF(A22:A33,A5,AD22:AD33),"")</f>
        <v>22840</v>
      </c>
      <c r="AC39" s="2">
        <f>IF(A39=0,"",SUMIF(A22:A33,A5,AC22:AC33) + SUMIF(A22:A33,A5,AE22:AE33) + AF5)</f>
        <v>29670</v>
      </c>
      <c r="AD39" s="2">
        <f>IF(A39=0,"",SUMIF(A22:A33,A5,AF22:AF33) + AD5)</f>
        <v>0</v>
      </c>
      <c r="AE39" s="2">
        <f>IF(A39=0,"",SUMIF(A22:A33,A5,AG22:AG33) + AE5)</f>
        <v>0</v>
      </c>
      <c r="AF39" s="2">
        <f>IF(A39=0,"",SUMIF(A22:A33,A5,AD22:AD33))</f>
        <v>0</v>
      </c>
      <c r="AG39" s="2">
        <f>IF(A39=0,"",SUMIF(A22:A33,A5,AE22:AE33))</f>
        <v>0</v>
      </c>
      <c r="AH39" s="2"/>
    </row>
    <row r="40" spans="1:34" x14ac:dyDescent="0.5">
      <c r="A40" t="str">
        <f t="shared" si="2"/>
        <v>2016/04/01</v>
      </c>
      <c r="B40" s="2">
        <f>IF(A40=0,"",SUMIF(A22:A33,A6,B22:B33) + B6)</f>
        <v>52510</v>
      </c>
      <c r="C40" s="2">
        <f>IF(A40=0,"",SUMIF(A22:A33,A6,C22:C33) + C6)</f>
        <v>679</v>
      </c>
      <c r="D40" s="2">
        <f>IF(A40=0,"",SUMIF(A22:A33,A6,D22:D33) + D6)</f>
        <v>0</v>
      </c>
      <c r="E40" s="2">
        <f>IF(A40=0,"",SUMIF(A22:A33,A6,E22:E33) + E6)</f>
        <v>53289</v>
      </c>
      <c r="F40" s="2">
        <f>IF(A40=0,"",SUMIF(A22:A33,A6,F22:F33) + F6)</f>
        <v>8411</v>
      </c>
      <c r="G40" s="2">
        <f>IF(A40=0,"",SUMIF(A22:A33,A6,G22:G33) + G6)</f>
        <v>2768</v>
      </c>
      <c r="H40" s="2">
        <f>IF(A40=0,"",SUMIF(A22:A33,A6,H22:H33) + H6)</f>
        <v>316</v>
      </c>
      <c r="I40" s="2">
        <f>IF(A40=0,"",SUMIF(A22:A33,A6,I22:I33) + I6)</f>
        <v>101</v>
      </c>
      <c r="J40" s="2">
        <f>IF(A40=0,"",SUMIF(A22:A33,A6,J22:J33) + J6)</f>
        <v>1224</v>
      </c>
      <c r="K40" s="2">
        <f>IF(A40=0,"",SUMIF(A22:A33,A6,K22:K33) + K6)</f>
        <v>8110</v>
      </c>
      <c r="L40" s="2">
        <f>IF(A40=0,"",SUMIF(A22:A33,A6,L22:L33) + L6)</f>
        <v>0</v>
      </c>
      <c r="M40" s="2">
        <f>IF(A40=0,"",SUMIF(A22:A33,A6,M22:M33) + M6)</f>
        <v>0</v>
      </c>
      <c r="N40" s="2">
        <f>IF(A40=0,"",SUMIF(A22:A33,A6,N22:N33) + N6)</f>
        <v>59</v>
      </c>
      <c r="O40" s="2">
        <f>IF(A40=0,"",SUMIF(A22:A33,A6,O22:O33) + O6)</f>
        <v>214</v>
      </c>
      <c r="P40" s="2">
        <f>IF(A40=0,"",SUMIF(A22:A33,A6,P22:P33) + P6)</f>
        <v>75</v>
      </c>
      <c r="Q40" s="2">
        <f>IF(A40=0,"",SUMIF(A22:A33,A6,Q22:Q33) + Q6)</f>
        <v>0</v>
      </c>
      <c r="R40" s="2">
        <f>IF(A40=0,"",SUMIF(A22:A33,A6,R22:R33) + R6)</f>
        <v>9226</v>
      </c>
      <c r="S40" s="2">
        <f>IF(A40=0,"",SUMIF(A22:A33,A6,S22:S33) + S6)</f>
        <v>2471</v>
      </c>
      <c r="T40" s="2">
        <f>IF(A40=0,"",SUMIF(A22:A33,A6,T22:T33) + T6)</f>
        <v>5</v>
      </c>
      <c r="U40" s="2">
        <f>IF(A40=0,"",SUMIF(A22:A33,A6,U22:U33) + U6)</f>
        <v>174</v>
      </c>
      <c r="V40" s="2">
        <f>IF(A40=0,"",SUMIF(A22:A33,A6,V22:V33) + V6)</f>
        <v>0</v>
      </c>
      <c r="W40" s="2">
        <f>IF(A40=0,"",SUMIF(A22:A33,A6,W22:W33) + W6)</f>
        <v>0</v>
      </c>
      <c r="X40" s="2">
        <f>IF(A40=0,"",SUMIF(A22:A33,A6,X22:X33) + X6)</f>
        <v>11231</v>
      </c>
      <c r="Y40" s="2">
        <f>IF(A40=0,"",SUMIF(A22:A33,A6,Y22:Y33) + Y6)</f>
        <v>0</v>
      </c>
      <c r="Z40" s="2">
        <f>IF(A40=0,"",SUMIF(A22:A33,A6,Z22:Z33) + Z6)</f>
        <v>111</v>
      </c>
      <c r="AA40" s="2">
        <f>IF(A40=0,"",SUMIF(A22:A33,A6,AA22:AA33) + AA6)</f>
        <v>3813</v>
      </c>
      <c r="AB40" s="2">
        <f>IFERROR(IF(A40=0,"",SUMIF(A22:A33,A6,AB22:AB33) + AB6 - AF6) + SUMIF(A22:A33,A6,AD22:AD33),"")</f>
        <v>53574</v>
      </c>
      <c r="AC40" s="2">
        <f>IF(A40=0,"",SUMIF(A22:A33,A6,AC22:AC33) + SUMIF(A22:A33,A6,AE22:AE33) + AF6)</f>
        <v>27585</v>
      </c>
      <c r="AD40" s="2">
        <f>IF(A40=0,"",SUMIF(A22:A33,A6,AF22:AF33) + AD6)</f>
        <v>23</v>
      </c>
      <c r="AE40" s="2">
        <f>IF(A40=0,"",SUMIF(A22:A33,A6,AG22:AG33)+ AE6)</f>
        <v>0</v>
      </c>
      <c r="AF40" s="2">
        <f>IF(A40=0,"",SUMIF(A22:A33,A6,AD22:AD33))</f>
        <v>0</v>
      </c>
      <c r="AG40" s="2">
        <f>IF(A40=0,"",SUMIF(A22:A33,A6,AE22:AE33))</f>
        <v>0</v>
      </c>
      <c r="AH40" s="2"/>
    </row>
    <row r="41" spans="1:34" x14ac:dyDescent="0.5">
      <c r="A41" t="str">
        <f t="shared" si="2"/>
        <v>2016/05/01</v>
      </c>
      <c r="B41" s="2">
        <f>IF(A41=0,"",SUMIF(A22:A33,A7,B22:B33) + B7)</f>
        <v>81159</v>
      </c>
      <c r="C41" s="2">
        <f>IF(A41=0,"",SUMIF(A22:A33,A7,C22:C33) + C7)</f>
        <v>6167</v>
      </c>
      <c r="D41" s="2">
        <f>IF(A41=0,"",SUMIF(A22:A33,A7,D22:D33) + D7)</f>
        <v>0</v>
      </c>
      <c r="E41" s="2">
        <f>IF(A41=0,"",SUMIF(A22:A33,A7,E22:E33) + E7)</f>
        <v>2048</v>
      </c>
      <c r="F41" s="2">
        <f>IF(A41=0,"",SUMIF(A22:A33,A7,F22:F33) + F7)</f>
        <v>23559</v>
      </c>
      <c r="G41" s="2">
        <f>IF(A41=0,"",SUMIF(A22:A33,A7,G22:G33) + G7)</f>
        <v>4151</v>
      </c>
      <c r="H41" s="2">
        <f>IF(A41=0,"",SUMIF(A22:A33,A7,H22:H33) + H7)</f>
        <v>1988</v>
      </c>
      <c r="I41" s="2">
        <f>IF(A41=0,"",SUMIF(A22:A33,A7,I22:I33) + I7)</f>
        <v>178</v>
      </c>
      <c r="J41" s="2">
        <f>IF(A41=0,"",SUMIF(A22:A33,A7,J22:J33) + J7)</f>
        <v>4180</v>
      </c>
      <c r="K41" s="2">
        <f>IF(A41=0,"",SUMIF(A22:A33,A7,K22:K33) + K7)</f>
        <v>8004</v>
      </c>
      <c r="L41" s="2">
        <f>IF(A41=0,"",SUMIF(A22:A33,A7,L22:L33) + L7)</f>
        <v>0</v>
      </c>
      <c r="M41" s="2">
        <f>IF(A41=0,"",SUMIF(A22:A33,A7,M22:M33) + M7)</f>
        <v>0</v>
      </c>
      <c r="N41" s="2">
        <f>IF(A41=0,"",SUMIF(A22:A33,A7,N22:N33) + N7)</f>
        <v>44</v>
      </c>
      <c r="O41" s="2">
        <f>IF(A41=0,"",SUMIF(A22:A33,A7,O22:O33) + O7)</f>
        <v>235</v>
      </c>
      <c r="P41" s="2">
        <f>IF(A41=0,"",SUMIF(A22:A33,A7,P22:P33) + P7)</f>
        <v>79</v>
      </c>
      <c r="Q41" s="2">
        <f>IF(A41=0,"",SUMIF(A22:A33,A7,Q22:Q33) + Q7)</f>
        <v>0</v>
      </c>
      <c r="R41" s="2">
        <f>IF(A41=0,"",SUMIF(A22:A33,A7,R22:R33) + R7)</f>
        <v>6782</v>
      </c>
      <c r="S41" s="2">
        <f>IF(A41=0,"",SUMIF(A22:A33,A7,S22:S33) + S7)</f>
        <v>1520</v>
      </c>
      <c r="T41" s="2">
        <f>IF(A41=0,"",SUMIF(A22:A33,A7,T22:T33) + T7)</f>
        <v>0</v>
      </c>
      <c r="U41" s="2">
        <f>IF(A41=0,"",SUMIF(A22:A33,A7,U22:U33) + U7)</f>
        <v>148</v>
      </c>
      <c r="V41" s="2">
        <f>IF(A41=0,"",SUMIF(A22:A33,A7,V22:V33) + V7)</f>
        <v>0</v>
      </c>
      <c r="W41" s="2">
        <f>IF(A41=0,"",SUMIF(A22:A33,A7,W22:W33) + W7)</f>
        <v>0</v>
      </c>
      <c r="X41" s="2">
        <f>IF(A41=0,"",SUMIF(A22:A33,A7,X22:X33) + X7)</f>
        <v>27903</v>
      </c>
      <c r="Y41" s="2">
        <f>IF(A41=0,"",SUMIF(A22:A33,A7,Y22:Y33) + Y7)</f>
        <v>0</v>
      </c>
      <c r="Z41" s="2">
        <f>IF(A41=0,"",SUMIF(A22:A33,A7,Z22:Z33) + Z7)</f>
        <v>250</v>
      </c>
      <c r="AA41" s="2">
        <f>IF(A41=0,"",SUMIF(A22:A33,A7,AA22:AA33) + AA7)</f>
        <v>716</v>
      </c>
      <c r="AB41" s="2">
        <f>IFERROR(IF(A41=0,"",SUMIF(A22:A33,A7,AB22:AB33) + AB7 - AF7) + SUMIF(A22:A33,A7,AD22:AD33),"")</f>
        <v>33630</v>
      </c>
      <c r="AC41" s="2">
        <f>IF(A41=0,"",SUMIF(A22:A33,A7,AC22:AC33) + SUMIF(A22:A33,A7,AE22:AE33) + AF7)</f>
        <v>35403</v>
      </c>
      <c r="AD41" s="2">
        <f>IF(A41=0,"",SUMIF(A22:A33,A7,AF22:AF33) + AD7)</f>
        <v>0</v>
      </c>
      <c r="AE41" s="2">
        <f>IF(A41=0,"",SUMIF(A22:A33,A7,AG22:AG33) + AE7)</f>
        <v>0</v>
      </c>
      <c r="AF41" s="2">
        <f>IF(A41=0,"",SUMIF(A22:A33,A7,AD22:AD33))</f>
        <v>0</v>
      </c>
      <c r="AG41" s="2">
        <f>IF(A41=0,"",SUMIF(A22:A33,A7,AE22:AE33))</f>
        <v>0</v>
      </c>
      <c r="AH41" s="2"/>
    </row>
    <row r="42" spans="1:34" x14ac:dyDescent="0.5">
      <c r="A42" t="str">
        <f t="shared" si="2"/>
        <v>2016/06/01</v>
      </c>
      <c r="B42" s="2">
        <f>IF(A42=0,"",SUMIF(A22:A33,A8,B22:B33) + B8)</f>
        <v>69033</v>
      </c>
      <c r="C42" s="2">
        <f>IF(A42=0,"",SUMIF(A22:A33,A8,C22:C33) + C8)</f>
        <v>20987</v>
      </c>
      <c r="D42" s="2">
        <f>IF(A42=0,"",SUMIF(A22:A33,A8,D22:D33) + D8)</f>
        <v>0</v>
      </c>
      <c r="E42" s="2">
        <f>IF(A42=0,"",SUMIF(A22:A33,A8,E22:E33) + E8)</f>
        <v>1960</v>
      </c>
      <c r="F42" s="2">
        <f>IF(A42=0,"",SUMIF(A22:A33,A8,F22:F33) + F8)</f>
        <v>4355</v>
      </c>
      <c r="G42" s="2">
        <f>IF(A42=0,"",SUMIF(A22:A33,A8,G22:G33) + G8)</f>
        <v>3564</v>
      </c>
      <c r="H42" s="2">
        <f>IF(A42=0,"",SUMIF(A22:A33,A8,H22:H33) + H8)</f>
        <v>318</v>
      </c>
      <c r="I42" s="2">
        <f>IF(A42=0,"",SUMIF(A22:A33,A8,I22:I33) + I8)</f>
        <v>117</v>
      </c>
      <c r="J42" s="2">
        <f>IF(A42=0,"",SUMIF(A22:A33,A8,J22:J33) + J8)</f>
        <v>1639</v>
      </c>
      <c r="K42" s="2">
        <f>IF(A42=0,"",SUMIF(A22:A33,A8,K22:K33) + K8)</f>
        <v>9179</v>
      </c>
      <c r="L42" s="2">
        <f>IF(A42=0,"",SUMIF(A22:A33,A8,L22:L33) + L8)</f>
        <v>0</v>
      </c>
      <c r="M42" s="2">
        <f>IF(A42=0,"",SUMIF(A22:A33,A8,M22:M33) + M8)</f>
        <v>0</v>
      </c>
      <c r="N42" s="2">
        <f>IF(A42=0,"",SUMIF(A22:A33,A8,N22:N33) + N8)</f>
        <v>99</v>
      </c>
      <c r="O42" s="2">
        <f>IF(A42=0,"",SUMIF(A22:A33,A8,O22:O33) + O8)</f>
        <v>203</v>
      </c>
      <c r="P42" s="2">
        <f>IF(A42=0,"",SUMIF(A22:A33,A8,P22:P33) + P8)</f>
        <v>58</v>
      </c>
      <c r="Q42" s="2">
        <f>IF(A42=0,"",SUMIF(A22:A33,A8,Q22:Q33) + Q8)</f>
        <v>0</v>
      </c>
      <c r="R42" s="2">
        <f>IF(A42=0,"",SUMIF(A22:A33,A8,R22:R33) + R8)</f>
        <v>3010</v>
      </c>
      <c r="S42" s="2">
        <f>IF(A42=0,"",SUMIF(A22:A33,A8,S22:S33) + S8)</f>
        <v>1520</v>
      </c>
      <c r="T42" s="2">
        <f>IF(A42=0,"",SUMIF(A22:A33,A8,T22:T33) + T8)</f>
        <v>0</v>
      </c>
      <c r="U42" s="2">
        <f>IF(A42=0,"",SUMIF(A22:A33,A8,U22:U33) + U8)</f>
        <v>96</v>
      </c>
      <c r="V42" s="2">
        <f>IF(A42=0,"",SUMIF(A22:A33,A8,V22:V33) + V8)</f>
        <v>0</v>
      </c>
      <c r="W42" s="2">
        <f>IF(A42=0,"",SUMIF(A22:A33,A8,W22:W33) + W8)</f>
        <v>0</v>
      </c>
      <c r="X42" s="2">
        <f>IF(A42=0,"",SUMIF(A22:A33,A8,X22:X33) + X8)</f>
        <v>8170</v>
      </c>
      <c r="Y42" s="2">
        <f>IF(A42=0,"",SUMIF(A22:A33,A8,Y22:Y33) + Y8)</f>
        <v>0</v>
      </c>
      <c r="Z42" s="2">
        <f>IF(A42=0,"",SUMIF(A22:A33,A8,Z22:Z33) + Z8)</f>
        <v>212</v>
      </c>
      <c r="AA42" s="2">
        <f>IF(A42=0,"",SUMIF(A22:A33,A8,AA22:AA33) + AA8)</f>
        <v>868</v>
      </c>
      <c r="AB42" s="2">
        <f>IFERROR(IF(A42=0,"",SUMIF(A22:A33,A8,AB22:AB33) + AB8 - AF8) + SUMIF(A22:A33,A8,AD22:AD33),"")</f>
        <v>42998</v>
      </c>
      <c r="AC42" s="2">
        <f>IF(A42=0,"",SUMIF(A22:A33,A8,AC22:AC33) + SUMIF(A22:A33,A8,AE22:AE33) + AF8)</f>
        <v>32048</v>
      </c>
      <c r="AD42" s="2">
        <f>IF(A42=0,"",SUMIF(A22:A33,A8,AF22:AF33) + AD8)</f>
        <v>108</v>
      </c>
      <c r="AE42" s="2">
        <f>IF(A42=0,"",SUMIF(A22:A33,A8,AG22:AG33) + AE8)</f>
        <v>0</v>
      </c>
      <c r="AF42" s="2">
        <f>IF(A42=0,"",SUMIF(A22:A33,A8,AD22:AD33))</f>
        <v>0</v>
      </c>
      <c r="AG42" s="2">
        <f>IF(A42=0,"",SUMIF(A22:A33,A8,AE22:AE33))</f>
        <v>0</v>
      </c>
      <c r="AH42" s="2"/>
    </row>
    <row r="43" spans="1:34" x14ac:dyDescent="0.5">
      <c r="A43" t="str">
        <f t="shared" si="2"/>
        <v>2016/07/01</v>
      </c>
      <c r="B43" s="2">
        <f>IF(A43=0,"",SUMIF(A22:A33,A9,B22:B33) + B9)</f>
        <v>75046</v>
      </c>
      <c r="C43" s="2">
        <f>IF(A43=0,"",SUMIF(A22:A33,A9,C22:C33) + C9)</f>
        <v>8100</v>
      </c>
      <c r="D43" s="2">
        <f>IF(A43=0,"",SUMIF(A22:A33,A9,D22:D33) + D9)</f>
        <v>0</v>
      </c>
      <c r="E43" s="2">
        <f>IF(A43=0,"",SUMIF(A22:A33,A9,E22:E33) + E9)</f>
        <v>6453</v>
      </c>
      <c r="F43" s="2">
        <f>IF(A43=0,"",SUMIF(A22:A33,A9,F22:F33) + F9)</f>
        <v>1050</v>
      </c>
      <c r="G43" s="2">
        <f>IF(A43=0,"",SUMIF(A22:A33,A9,G22:G33) + G9)</f>
        <v>5684</v>
      </c>
      <c r="H43" s="2">
        <f>IF(A43=0,"",SUMIF(A22:A33,A9,H22:H33) + H9)</f>
        <v>148</v>
      </c>
      <c r="I43" s="2">
        <f>IF(A43=0,"",SUMIF(A22:A33,A9,I22:I33) + I9)</f>
        <v>68</v>
      </c>
      <c r="J43" s="2">
        <f>IF(A43=0,"",SUMIF(A22:A33,A9,J22:J33) + J9)</f>
        <v>1042</v>
      </c>
      <c r="K43" s="2">
        <f>IF(A43=0,"",SUMIF(A22:A33,A9,K22:K33) + K9)</f>
        <v>7957</v>
      </c>
      <c r="L43" s="2">
        <f>IF(A43=0,"",SUMIF(A22:A33,A9,L22:L33) + L9)</f>
        <v>0</v>
      </c>
      <c r="M43" s="2">
        <f>IF(A43=0,"",SUMIF(A22:A33,A9,M22:M33) + M9)</f>
        <v>0</v>
      </c>
      <c r="N43" s="2">
        <f>IF(A43=0,"",SUMIF(A22:A33,A9,N22:N33) + N9)</f>
        <v>88</v>
      </c>
      <c r="O43" s="2">
        <f>IF(A43=0,"",SUMIF(A22:A33,A9,O22:O33) + O9)</f>
        <v>293</v>
      </c>
      <c r="P43" s="2">
        <f>IF(A43=0,"",SUMIF(A22:A33,A9,P22:P33) + P9)</f>
        <v>91</v>
      </c>
      <c r="Q43" s="2">
        <f>IF(A43=0,"",SUMIF(A22:A33,A9,Q22:Q33) + Q9)</f>
        <v>0</v>
      </c>
      <c r="R43" s="2">
        <f>IF(A43=0,"",SUMIF(A22:A33,A9,R22:R33) + R9)</f>
        <v>1926</v>
      </c>
      <c r="S43" s="2">
        <f>IF(A43=0,"",SUMIF(A22:A33,A9,S22:S33) + S9)</f>
        <v>0</v>
      </c>
      <c r="T43" s="2">
        <f>IF(A43=0,"",SUMIF(A22:A33,A9,T22:T33) + T9)</f>
        <v>0</v>
      </c>
      <c r="U43" s="2">
        <f>IF(A43=0,"",SUMIF(A22:A33,A9,U22:U33) + U9)</f>
        <v>96</v>
      </c>
      <c r="V43" s="2">
        <f>IF(A43=0,"",SUMIF(A22:A33,A9,V22:V33) + V9)</f>
        <v>0</v>
      </c>
      <c r="W43" s="2">
        <f>IF(A43=0,"",SUMIF(A22:A33,A9,W22:W33) + W9)</f>
        <v>1025</v>
      </c>
      <c r="X43" s="2">
        <f>IF(A43=0,"",SUMIF(A22:A33,A9,X22:X33) + X9)</f>
        <v>5772</v>
      </c>
      <c r="Y43" s="2">
        <f>IF(A43=0,"",SUMIF(A22:A33,A9,Y22:Y33) + Y9)</f>
        <v>0</v>
      </c>
      <c r="Z43" s="2">
        <f>IF(A43=0,"",SUMIF(A22:A33,A9,Z22:Z33) + Z9)</f>
        <v>193</v>
      </c>
      <c r="AA43" s="2">
        <f>IF(A43=0,"",SUMIF(A22:A33,A9,AA22:AA33) + AA9)</f>
        <v>7</v>
      </c>
      <c r="AB43" s="2">
        <f>IFERROR(IF(A43=0,"",SUMIF(A22:A33,A9,AB22:AB33) + AB9 - AF9) + SUMIF(A22:A33,A9,AD22:AD33),"")</f>
        <v>47029</v>
      </c>
      <c r="AC43" s="2">
        <f>IF(A43=0,"",SUMIF(A22:A33,A9,AC22:AC33) + SUMIF(A22:A33,A9,AE22:AE33) + AF9)</f>
        <v>30894</v>
      </c>
      <c r="AD43" s="2">
        <f>IF(A43=0,"",SUMIF(A22:A33,A9,AF22:AF33) + AD9)</f>
        <v>60</v>
      </c>
      <c r="AE43" s="2">
        <f>IF(A43=0,"",SUMIF(A22:A33,A9,AG22:AG33) + AE9)</f>
        <v>0</v>
      </c>
      <c r="AF43" s="2">
        <f>IF(A43=0,"",SUMIF(A22:A33,A9,AD22:AD33))</f>
        <v>0</v>
      </c>
      <c r="AG43" s="2">
        <f>IF(A43=0,"",SUMIF(A22:A33,A9,AE22:AE33))</f>
        <v>0</v>
      </c>
      <c r="AH43" s="2"/>
    </row>
    <row r="44" spans="1:34" x14ac:dyDescent="0.5">
      <c r="A44" t="str">
        <f t="shared" si="2"/>
        <v>2016/08/01</v>
      </c>
      <c r="B44" s="2">
        <f>IF(A44=0,"",SUMIF(A22:A33,A10,B22:B33) + B10)</f>
        <v>77923</v>
      </c>
      <c r="C44" s="2">
        <f>IF(A44=0,"",SUMIF(A22:A33,A10,C22:C33) + C10)</f>
        <v>5613</v>
      </c>
      <c r="D44" s="2">
        <f>IF(A44=0,"",SUMIF(A22:A33,A10,D22:D33) + D10)</f>
        <v>0</v>
      </c>
      <c r="E44" s="2">
        <f>IF(A44=0,"",SUMIF(A22:A33,A10,E22:E33) + E10)</f>
        <v>0</v>
      </c>
      <c r="F44" s="2">
        <f>IF(A44=0,"",SUMIF(A22:A33,A10,F22:F33) + F10)</f>
        <v>4524</v>
      </c>
      <c r="G44" s="2">
        <f>IF(A44=0,"",SUMIF(A22:A33,A10,G22:G33) + G10)</f>
        <v>4588</v>
      </c>
      <c r="H44" s="2">
        <f>IF(A44=0,"",SUMIF(A22:A33,A10,H22:H33) + H10)</f>
        <v>27</v>
      </c>
      <c r="I44" s="2">
        <f>IF(A44=0,"",SUMIF(A22:A33,A10,I22:I33) + I10)</f>
        <v>95</v>
      </c>
      <c r="J44" s="2">
        <f>IF(A44=0,"",SUMIF(A22:A33,A10,J22:J33) + J10)</f>
        <v>3578</v>
      </c>
      <c r="K44" s="2">
        <f>IF(A44=0,"",SUMIF(A22:A33,A10,K22:K33) + K10)</f>
        <v>7965</v>
      </c>
      <c r="L44" s="2">
        <f>IF(A44=0,"",SUMIF(A22:A33,A10,L22:L33) + L10)</f>
        <v>0</v>
      </c>
      <c r="M44" s="2">
        <f>IF(A44=0,"",SUMIF(A22:A33,A10,M22:M33) + M10)</f>
        <v>0</v>
      </c>
      <c r="N44" s="2">
        <f>IF(A44=0,"",SUMIF(A22:A33,A10,N22:N33) + N10)</f>
        <v>87</v>
      </c>
      <c r="O44" s="2">
        <f>IF(A44=0,"",SUMIF(A22:A33,A10,O22:O33) + O10)</f>
        <v>258</v>
      </c>
      <c r="P44" s="2">
        <f>IF(A44=0,"",SUMIF(A22:A33,A10,P22:P33) + P10)</f>
        <v>126</v>
      </c>
      <c r="Q44" s="2">
        <f>IF(A44=0,"",SUMIF(A22:A33,A10,Q22:Q33) + Q10)</f>
        <v>0</v>
      </c>
      <c r="R44" s="2">
        <f>IF(A44=0,"",SUMIF(A22:A33,A10,R22:R33) + R10)</f>
        <v>7812</v>
      </c>
      <c r="S44" s="2">
        <f>IF(A44=0,"",SUMIF(A22:A33,A10,S22:S33) + S10)</f>
        <v>0</v>
      </c>
      <c r="T44" s="2">
        <f>IF(A44=0,"",SUMIF(A22:A33,A10,T22:T33) + T10)</f>
        <v>0</v>
      </c>
      <c r="U44" s="2">
        <f>IF(A44=0,"",SUMIF(A22:A33,A10,U22:U33) + U10)</f>
        <v>54</v>
      </c>
      <c r="V44" s="2">
        <f>IF(A44=0,"",SUMIF(A22:A33,A10,V22:V33) + V10)</f>
        <v>0</v>
      </c>
      <c r="W44" s="2">
        <f>IF(A44=0,"",SUMIF(A22:A33,A10,W22:W33) + W10)</f>
        <v>4531</v>
      </c>
      <c r="X44" s="2">
        <f>IF(A44=0,"",SUMIF(A22:A33,A10,X22:X33) + X10)</f>
        <v>4638</v>
      </c>
      <c r="Y44" s="2">
        <f>IF(A44=0,"",SUMIF(A22:A33,A10,Y22:Y33) + Y10)</f>
        <v>0</v>
      </c>
      <c r="Z44" s="2">
        <f>IF(A44=0,"",SUMIF(A22:A33,A10,Z22:Z33) + Z10)</f>
        <v>138</v>
      </c>
      <c r="AA44" s="2">
        <f>IF(A44=0,"",SUMIF(A22:A33,A10,AA22:AA33) + AA10)</f>
        <v>828</v>
      </c>
      <c r="AB44" s="2">
        <f>IFERROR(IF(A44=0,"",SUMIF(A22:A33,A10,AB22:AB33) + AB10 - AF10) + SUMIF(A22:A33,A10,AD22:AD33),"")</f>
        <v>37859</v>
      </c>
      <c r="AC44" s="2">
        <f>IF(A44=0,"",SUMIF(A22:A33,A10,AC22:AC33) + SUMIF(A22:A33,A10,AE22:AE33) + AF10)</f>
        <v>24706</v>
      </c>
      <c r="AD44" s="2">
        <f>IF(A44=0,"",SUMIF(A22:A33,A10,AF22:AF33) + AD10)</f>
        <v>77</v>
      </c>
      <c r="AE44" s="2">
        <f>IF(A44=0,"",SUMIF(A22:A33,A10,AG22:AG33) + AE10)</f>
        <v>0</v>
      </c>
      <c r="AF44" s="2">
        <f>IF(A44=0,"",SUMIF(A22:A33,A10,AD22:AD33))</f>
        <v>0</v>
      </c>
      <c r="AG44" s="2">
        <f>IF(A44=0,"",SUMIF(A22:A33,A10,AE22:AE33))</f>
        <v>0</v>
      </c>
      <c r="AH44" s="2"/>
    </row>
    <row r="45" spans="1:34" x14ac:dyDescent="0.5">
      <c r="A45" t="str">
        <f t="shared" si="2"/>
        <v>2016/09/01</v>
      </c>
      <c r="B45" s="2">
        <f>IF(A45=0,"",SUMIF(A22:A33,A11,B22:B33) + B11)</f>
        <v>62565</v>
      </c>
      <c r="C45" s="2">
        <f>IF(A45=0,"",SUMIF(A22:A33,A11,C22:C33) + C11)</f>
        <v>2728</v>
      </c>
      <c r="D45" s="2">
        <f>IF(A45=0,"",SUMIF(A22:A33,A11,D22:D33) + D11)</f>
        <v>0</v>
      </c>
      <c r="E45" s="2">
        <f>IF(A45=0,"",SUMIF(A22:A33,A11,E22:E33) + E11)</f>
        <v>35743</v>
      </c>
      <c r="F45" s="2">
        <f>IF(A45=0,"",SUMIF(A22:A33,A11,F22:F33) + F11)</f>
        <v>10787</v>
      </c>
      <c r="G45" s="2">
        <f>IF(A45=0,"",SUMIF(A22:A33,A11,G22:G33) + G11)</f>
        <v>5368</v>
      </c>
      <c r="H45" s="2">
        <f>IF(A45=0,"",SUMIF(A22:A33,A11,H22:H33) + H11)</f>
        <v>264</v>
      </c>
      <c r="I45" s="2">
        <f>IF(A45=0,"",SUMIF(A22:A33,A11,I22:I33) + I11)</f>
        <v>236</v>
      </c>
      <c r="J45" s="2">
        <f>IF(A45=0,"",SUMIF(A22:A33,A11,J22:J33) + J11)</f>
        <v>3904</v>
      </c>
      <c r="K45" s="2">
        <f>IF(A45=0,"",SUMIF(A22:A33,A11,K22:K33) + K11)</f>
        <v>8379</v>
      </c>
      <c r="L45" s="2">
        <f>IF(A45=0,"",SUMIF(A22:A33,A11,L22:L33) + L11)</f>
        <v>0</v>
      </c>
      <c r="M45" s="2">
        <f>IF(A45=0,"",SUMIF(A22:A33,A11,M22:M33) + M11)</f>
        <v>0</v>
      </c>
      <c r="N45" s="2">
        <f>IF(A45=0,"",SUMIF(A22:A33,A11,N22:N33) + N11)</f>
        <v>83</v>
      </c>
      <c r="O45" s="2">
        <f>IF(A45=0,"",SUMIF(A22:A33,A11,O22:O33) + O11)</f>
        <v>253</v>
      </c>
      <c r="P45" s="2">
        <f>IF(A45=0,"",SUMIF(A22:A33,A11,P22:P33) + P11)</f>
        <v>88</v>
      </c>
      <c r="Q45" s="2">
        <f>IF(A45=0,"",SUMIF(A22:A33,A11,Q22:Q33) + Q11)</f>
        <v>0</v>
      </c>
      <c r="R45" s="2">
        <f>IF(A45=0,"",SUMIF(A22:A33,A11,R22:R33) + R11)</f>
        <v>3901</v>
      </c>
      <c r="S45" s="2">
        <f>IF(A45=0,"",SUMIF(A22:A33,A11,S22:S33) + S11)</f>
        <v>0</v>
      </c>
      <c r="T45" s="2">
        <f>IF(A45=0,"",SUMIF(A22:A33,A11,T22:T33) + T11)</f>
        <v>0</v>
      </c>
      <c r="U45" s="2">
        <f>IF(A45=0,"",SUMIF(A22:A33,A11,U22:U33) + U11)</f>
        <v>39</v>
      </c>
      <c r="V45" s="2">
        <f>IF(A45=0,"",SUMIF(A22:A33,A11,V22:V33) + V11)</f>
        <v>0</v>
      </c>
      <c r="W45" s="2">
        <f>IF(A45=0,"",SUMIF(A22:A33,A11,W22:W33) + W11)</f>
        <v>0</v>
      </c>
      <c r="X45" s="2">
        <f>IF(A45=0,"",SUMIF(A22:A33,A11,X22:X33) + X11)</f>
        <v>16048</v>
      </c>
      <c r="Y45" s="2">
        <f>IF(A45=0,"",SUMIF(A22:A33,A11,Y22:Y33) + Y11)</f>
        <v>0</v>
      </c>
      <c r="Z45" s="2">
        <f>IF(A45=0,"",SUMIF(A22:A33,A11,Z22:Z33) + Z11)</f>
        <v>10</v>
      </c>
      <c r="AA45" s="2">
        <f>IF(A45=0,"",SUMIF(A22:A33,A11,AA22:AA33) + AA11)</f>
        <v>243</v>
      </c>
      <c r="AB45" s="2">
        <f>IFERROR(IF(A45=0,"",SUMIF(A22:A33,A11,AB22:AB33) + AB11 - AF11) + SUMIF(A22:A33,A11,AD22:AD33),"")</f>
        <v>58650</v>
      </c>
      <c r="AC45" s="2">
        <f>IF(A45=0,"",SUMIF(A22:A33,A11,AC22:AC33) + SUMIF(A22:A33,A11,AE22:AE33) + AF11)</f>
        <v>25621</v>
      </c>
      <c r="AD45" s="2">
        <f>IF(A45=0,"",SUMIF(A22:A33,A11,AF22:AF33) + AD11)</f>
        <v>135</v>
      </c>
      <c r="AE45" s="2">
        <f>IF(A45=0,"",SUMIF(A22:A33,A11,AG22:AG33) + AE11)</f>
        <v>0</v>
      </c>
      <c r="AF45" s="2">
        <f>IF(A45=0,"",SUMIF(A22:A33,A11,AD22:AD33))</f>
        <v>0</v>
      </c>
      <c r="AG45" s="2">
        <f>IF(A45=0,"",SUMIF(A22:A33,A11,AE22:AE33))</f>
        <v>0</v>
      </c>
      <c r="AH45" s="2"/>
    </row>
    <row r="46" spans="1:34" x14ac:dyDescent="0.5">
      <c r="A46" t="str">
        <f t="shared" si="2"/>
        <v>2016/10/01</v>
      </c>
      <c r="B46" s="2">
        <f>IF(A46=0,"",SUMIF(A22:A33,A12,B22:B33) + B12)</f>
        <v>84271</v>
      </c>
      <c r="C46" s="2">
        <f>IF(A46=0,"",SUMIF(A22:A33,A12,C22:C33) + C12)</f>
        <v>1195</v>
      </c>
      <c r="D46" s="2">
        <f>IF(A46=0,"",SUMIF(A22:A33,A12,D22:D33) + D12)</f>
        <v>0</v>
      </c>
      <c r="E46" s="2">
        <f>IF(A46=0,"",SUMIF(A22:A33,A12,E22:E33) + E12)</f>
        <v>28038</v>
      </c>
      <c r="F46" s="2">
        <f>IF(A46=0,"",SUMIF(A22:A33,A12,F22:F33) + F12)</f>
        <v>30263</v>
      </c>
      <c r="G46" s="2">
        <f>IF(A46=0,"",SUMIF(A22:A33,A12,G22:G33) + G12)</f>
        <v>4513</v>
      </c>
      <c r="H46" s="2">
        <f>IF(A46=0,"",SUMIF(A22:A33,A12,H22:H33) + H12)</f>
        <v>283</v>
      </c>
      <c r="I46" s="2">
        <f>IF(A46=0,"",SUMIF(A22:A33,A12,I22:I33) + I12)</f>
        <v>1213</v>
      </c>
      <c r="J46" s="2">
        <f>IF(A46=0,"",SUMIF(A22:A33,A12,J22:J33) + J12)</f>
        <v>3461</v>
      </c>
      <c r="K46" s="2">
        <f>IF(A46=0,"",SUMIF(A22:A33,A12,K22:K33) + K12)</f>
        <v>8123</v>
      </c>
      <c r="L46" s="2">
        <f>IF(A46=0,"",SUMIF(A22:A33,A12,L22:L33) + L12)</f>
        <v>0</v>
      </c>
      <c r="M46" s="2">
        <f>IF(A46=0,"",SUMIF(A22:A33,A12,M22:M33) + M12)</f>
        <v>0</v>
      </c>
      <c r="N46" s="2">
        <f>IF(A46=0,"",SUMIF(A22:A33,A12,N22:N33) + N12)</f>
        <v>103</v>
      </c>
      <c r="O46" s="2">
        <f>IF(A46=0,"",SUMIF(A22:A33,A12,O22:O33) + O12)</f>
        <v>269</v>
      </c>
      <c r="P46" s="2">
        <f>IF(A46=0,"",SUMIF(A22:A33,A12,P22:P33) + P12)</f>
        <v>119</v>
      </c>
      <c r="Q46" s="2">
        <f>IF(A46=0,"",SUMIF(A22:A33,A12,Q22:Q33) + Q12)</f>
        <v>0</v>
      </c>
      <c r="R46" s="2">
        <f>IF(A46=0,"",SUMIF(A22:A33,A12,R22:R33) + R12)</f>
        <v>2033</v>
      </c>
      <c r="S46" s="2">
        <f>IF(A46=0,"",SUMIF(A22:A33,A12,S22:S33) + S12)</f>
        <v>5758</v>
      </c>
      <c r="T46" s="2">
        <f>IF(A46=0,"",SUMIF(A22:A33,A12,T22:T33) + T12)</f>
        <v>0</v>
      </c>
      <c r="U46" s="2">
        <f>IF(A46=0,"",SUMIF(A22:A33,A12,U22:U33) + U12)</f>
        <v>55</v>
      </c>
      <c r="V46" s="2">
        <f>IF(A46=0,"",SUMIF(A22:A33,A12,V22:V33) + V12)</f>
        <v>0</v>
      </c>
      <c r="W46" s="2">
        <f>IF(A46=0,"",SUMIF(A22:A33,A12,W22:W33) + W12)</f>
        <v>0</v>
      </c>
      <c r="X46" s="2">
        <f>IF(A46=0,"",SUMIF(A22:A33,A12,X22:X33) + X12)</f>
        <v>35098</v>
      </c>
      <c r="Y46" s="2">
        <f>IF(A46=0,"",SUMIF(A22:A33,A12,Y22:Y33) + Y12)</f>
        <v>0</v>
      </c>
      <c r="Z46" s="2">
        <f>IF(A46=0,"",SUMIF(A22:A33,A12,Z22:Z33) + Z12)</f>
        <v>196</v>
      </c>
      <c r="AA46" s="2">
        <f>IF(A46=0,"",SUMIF(A22:A33,A12,AA22:AA33) + AA12)</f>
        <v>345</v>
      </c>
      <c r="AB46" s="2">
        <f>IFERROR(IF(A46=0,"",SUMIF(A22:A33,A12,AB22:AB33) + AB12 - AF12) + SUMIF(A22:A33,A12,AD22:AD33),"")</f>
        <v>47938</v>
      </c>
      <c r="AC46" s="2">
        <f>IF(A46=0,"",SUMIF(A22:A33,A12,AC22:AC33) + SUMIF(A22:A33,A12,AE22:AE33) + AF12)</f>
        <v>43852</v>
      </c>
      <c r="AD46" s="2">
        <f>IF(A46=0,"",SUMIF(A22:A33,A12,AF22:AF33) + AD12)</f>
        <v>335</v>
      </c>
      <c r="AE46" s="2">
        <f>IF(A46=0,"",SUMIF(A22:A33,A12,AG22:AG33) + AE12)</f>
        <v>0</v>
      </c>
      <c r="AF46" s="2">
        <f>IF(A46=0,"",SUMIF(A22:A33,A12,AD22:AD33))</f>
        <v>0</v>
      </c>
      <c r="AG46" s="2">
        <f>IF(A46=0,"",SUMIF(A22:A33,A12,AE22:AE33))</f>
        <v>0</v>
      </c>
      <c r="AH46" s="2"/>
    </row>
    <row r="47" spans="1:34" x14ac:dyDescent="0.5">
      <c r="A47" t="str">
        <f t="shared" si="2"/>
        <v>2016/11/01</v>
      </c>
      <c r="B47" s="2">
        <f>IF(A47=0,"",SUMIF(A22:A33,A13,B22:B33) + B13)</f>
        <v>91790</v>
      </c>
      <c r="C47" s="2">
        <f>IF(A47=0,"",SUMIF(A22:A33,A13,C22:C33) + C13)</f>
        <v>1733</v>
      </c>
      <c r="D47" s="2">
        <f>IF(A47=0,"",SUMIF(A22:A33,A13,D22:D33) + D13)</f>
        <v>0</v>
      </c>
      <c r="E47" s="2">
        <f>IF(A47=0,"",SUMIF(A22:A33,A13,E22:E33) + E13)</f>
        <v>15353</v>
      </c>
      <c r="F47" s="2">
        <f>IF(A47=0,"",SUMIF(A22:A33,A13,F22:F33) + F13)</f>
        <v>76</v>
      </c>
      <c r="G47" s="2">
        <f>IF(A47=0,"",SUMIF(A22:A33,A13,G22:G33) + G13)</f>
        <v>6456</v>
      </c>
      <c r="H47" s="2">
        <f>IF(A47=0,"",SUMIF(A22:A33,A13,H22:H33) + H13)</f>
        <v>142</v>
      </c>
      <c r="I47" s="2">
        <f>IF(A47=0,"",SUMIF(A22:A33,A13,I22:I33) + I13)</f>
        <v>1286</v>
      </c>
      <c r="J47" s="2">
        <f>IF(A47=0,"",SUMIF(A22:A33,A13,J22:J33) + J13)</f>
        <v>3053</v>
      </c>
      <c r="K47" s="2">
        <f>IF(A47=0,"",SUMIF(A22:A33,A13,K22:K33) + K13)</f>
        <v>9412</v>
      </c>
      <c r="L47" s="2">
        <f>IF(A47=0,"",SUMIF(A22:A33,A13,L22:L33) + L13)</f>
        <v>0</v>
      </c>
      <c r="M47" s="2">
        <f>IF(A47=0,"",SUMIF(A22:A33,A13,M22:M33) + M13)</f>
        <v>0</v>
      </c>
      <c r="N47" s="2">
        <f>IF(A47=0,"",SUMIF(A22:A33,A13,N22:N33) + N13)</f>
        <v>72</v>
      </c>
      <c r="O47" s="2">
        <f>IF(A47=0,"",SUMIF(A22:A33,A13,O22:O33) + O13)</f>
        <v>369</v>
      </c>
      <c r="P47" s="2">
        <f>IF(A47=0,"",SUMIF(A22:A33,A13,P22:P33) + P13)</f>
        <v>68</v>
      </c>
      <c r="Q47" s="2">
        <f>IF(A47=0,"",SUMIF(A22:A33,A13,Q22:Q33) + Q13)</f>
        <v>0</v>
      </c>
      <c r="R47" s="2">
        <f>IF(A47=0,"",SUMIF(A22:A33,A13,R22:R33) + R13)</f>
        <v>3</v>
      </c>
      <c r="S47" s="2">
        <f>IF(A47=0,"",SUMIF(A22:A33,A13,S22:S33) + S13)</f>
        <v>10485</v>
      </c>
      <c r="T47" s="2">
        <f>IF(A47=0,"",SUMIF(A22:A33,A13,T22:T33) + T13)</f>
        <v>0</v>
      </c>
      <c r="U47" s="2">
        <f>IF(A47=0,"",SUMIF(A22:A33,A13,U22:U33) + U13)</f>
        <v>96</v>
      </c>
      <c r="V47" s="2">
        <f>IF(A47=0,"",SUMIF(A22:A33,A13,V22:V33) + V13)</f>
        <v>0</v>
      </c>
      <c r="W47" s="2">
        <f>IF(A47=0,"",SUMIF(A22:A33,A13,W22:W33) + W13)</f>
        <v>0</v>
      </c>
      <c r="X47" s="2">
        <f>IF(A47=0,"",SUMIF(A22:A33,A13,X22:X33) + X13)</f>
        <v>6518</v>
      </c>
      <c r="Y47" s="2">
        <f>IF(A47=0,"",SUMIF(A22:A33,A13,Y22:Y33) + Y13)</f>
        <v>0</v>
      </c>
      <c r="Z47" s="2">
        <f>IF(A47=0,"",SUMIF(A22:A33,A13,Z22:Z33) + Z13)</f>
        <v>555</v>
      </c>
      <c r="AA47" s="2">
        <f>IF(A47=0,"",SUMIF(A22:A33,A13,AA22:AA33) + AA13)</f>
        <v>140</v>
      </c>
      <c r="AB47" s="2">
        <f>IFERROR(IF(A47=0,"",SUMIF(A22:A33,A13,AB22:AB33) + AB13 - AF13) + SUMIF(A22:A33,A13,AD22:AD33),"")</f>
        <v>47793</v>
      </c>
      <c r="AC47" s="2">
        <f>IF(A47=0,"",SUMIF(A22:A33,A13,AC22:AC33) + SUMIF(A22:A33,A13,AE22:AE33) + AF13)</f>
        <v>35700</v>
      </c>
      <c r="AD47" s="2">
        <f>IF(A47=0,"",SUMIF(A22:A33,A13,AF22:AF33) + AD13)</f>
        <v>572</v>
      </c>
      <c r="AE47" s="2">
        <f>IF(A47=0,"",SUMIF(A22:A33,A13,AG22:AG33) + AE13)</f>
        <v>0</v>
      </c>
      <c r="AF47" s="2">
        <f>IF(A47=0,"",SUMIF(A22:A33,A13,AD22:AD33))</f>
        <v>0</v>
      </c>
      <c r="AG47" s="2">
        <f>IF(A47=0,"",SUMIF(A22:A33,A13,AE22:AE33))</f>
        <v>0</v>
      </c>
      <c r="AH47" s="2"/>
    </row>
    <row r="48" spans="1:34" x14ac:dyDescent="0.5">
      <c r="A48" t="str">
        <f t="shared" si="2"/>
        <v>2016/12/01</v>
      </c>
      <c r="B48" s="2">
        <f>IF(A48=0,"",SUMIF(A22:A33,A14,B22:B33) + B14)</f>
        <v>83493</v>
      </c>
      <c r="C48" s="2">
        <f>IF(A48=0,"",SUMIF(A22:A33,A14,C22:C33) + C14)</f>
        <v>1930</v>
      </c>
      <c r="D48" s="2">
        <f>IF(A48=0,"",SUMIF(A22:A33,A14,D22:D33) + D14)</f>
        <v>0</v>
      </c>
      <c r="E48" s="2">
        <f>IF(A48=0,"",SUMIF(A22:A33,A14,E22:E33) + E14)</f>
        <v>0</v>
      </c>
      <c r="F48" s="2">
        <f>IF(A48=0,"",SUMIF(A22:A33,A14,F22:F33) + F14)</f>
        <v>0</v>
      </c>
      <c r="G48" s="2">
        <f>IF(A48=0,"",SUMIF(A22:A33,A14,G22:G33) + G14)</f>
        <v>3443</v>
      </c>
      <c r="H48" s="2">
        <f>IF(A48=0,"",SUMIF(A22:A33,A14,H22:H33) + H14)</f>
        <v>937</v>
      </c>
      <c r="I48" s="2">
        <f>IF(A48=0,"",SUMIF(A22:A33,A14,I22:I33) + I14)</f>
        <v>823</v>
      </c>
      <c r="J48" s="2">
        <f>IF(A48=0,"",SUMIF(A22:A33,A14,J22:J33) + J14)</f>
        <v>909</v>
      </c>
      <c r="K48" s="2">
        <f>IF(A48=0,"",SUMIF(A22:A33,A14,K22:K33) + K14)</f>
        <v>7745</v>
      </c>
      <c r="L48" s="2">
        <f>IF(A48=0,"",SUMIF(A22:A33,A14,L22:L33) + L14)</f>
        <v>0</v>
      </c>
      <c r="M48" s="2">
        <f>IF(A48=0,"",SUMIF(A22:A33,A14,M22:M33) + M14)</f>
        <v>0</v>
      </c>
      <c r="N48" s="2">
        <f>IF(A48=0,"",SUMIF(A22:A33,A14,N22:N33) + N14)</f>
        <v>76</v>
      </c>
      <c r="O48" s="2">
        <f>IF(A48=0,"",SUMIF(A22:A33,A14,O22:O33) + O14)</f>
        <v>254</v>
      </c>
      <c r="P48" s="2">
        <f>IF(A48=0,"",SUMIF(A22:A33,A14,P22:P33) + P14)</f>
        <v>68</v>
      </c>
      <c r="Q48" s="2">
        <f>IF(A48=0,"",SUMIF(A22:A33,A14,Q22:Q33) + Q14)</f>
        <v>0</v>
      </c>
      <c r="R48" s="2">
        <f>IF(A48=0,"",SUMIF(A22:A33,A14,R22:R33) + R14)</f>
        <v>13252</v>
      </c>
      <c r="S48" s="2">
        <f>IF(A48=0,"",SUMIF(A22:A33,A14,S22:S33) + S14)</f>
        <v>2740</v>
      </c>
      <c r="T48" s="2">
        <f>IF(A48=0,"",SUMIF(A22:A33,A14,T22:T33) + T14)</f>
        <v>77</v>
      </c>
      <c r="U48" s="2">
        <f>IF(A48=0,"",SUMIF(A22:A33,A14,U22:U33) + U14)</f>
        <v>79</v>
      </c>
      <c r="V48" s="2">
        <f>IF(A48=0,"",SUMIF(A22:A33,A14,V22:V33) + V14)</f>
        <v>0</v>
      </c>
      <c r="W48" s="2">
        <f>IF(A48=0,"",SUMIF(A22:A33,A14,W22:W33) + W14)</f>
        <v>0</v>
      </c>
      <c r="X48" s="2">
        <f>IF(A48=0,"",SUMIF(A22:A33,A14,X22:X33) + X14)</f>
        <v>3696</v>
      </c>
      <c r="Y48" s="2">
        <f>IF(A48=0,"",SUMIF(A22:A33,A14,Y22:Y33) + Y14)</f>
        <v>0</v>
      </c>
      <c r="Z48" s="2">
        <f>IF(A48=0,"",SUMIF(A22:A33,A14,Z22:Z33) + Z14)</f>
        <v>12</v>
      </c>
      <c r="AA48" s="2">
        <f>IF(A48=0,"",SUMIF(A22:A33,A14,AA22:AA33) + AA14)</f>
        <v>128</v>
      </c>
      <c r="AB48" s="2">
        <f>IFERROR(IF(A48=0,"",SUMIF(A22:A33,A14,AB22:AB33) + AB14 - AF14) + SUMIF(A22:A33,A14,AD22:AD33),"")</f>
        <v>28698</v>
      </c>
      <c r="AC48" s="2">
        <f>IF(A48=0,"",SUMIF(A22:A33,A14,AC22:AC33) + SUMIF(A22:A33,A14,AE22:AE33) + AF14)</f>
        <v>31246</v>
      </c>
      <c r="AD48" s="2">
        <f>IF(A48=0,"",SUMIF(A22:A33,A14,AF22:AF33) + AD14)</f>
        <v>387</v>
      </c>
      <c r="AE48" s="2">
        <f>IF(A48=0,"",SUMIF(A22:A33,A14,AG22:AG33) + AE14)</f>
        <v>0</v>
      </c>
      <c r="AF48" s="2">
        <f>IF(A48=0,"",SUMIF(A22:A33,A14,AD22:AD33))</f>
        <v>0</v>
      </c>
      <c r="AG48" s="2">
        <f>IF(A48=0,"",SUMIF(A22:A33,A14,AE22:AE33))</f>
        <v>0</v>
      </c>
      <c r="AH48" s="2"/>
    </row>
    <row r="49" spans="1:34" x14ac:dyDescent="0.5">
      <c r="A49" t="str">
        <f t="shared" si="2"/>
        <v>2017/01/01</v>
      </c>
      <c r="B49" s="2">
        <f>IF(A49=0,"",SUMIF(A22:A33,A15,B22:B33) + B15)</f>
        <v>59944</v>
      </c>
      <c r="C49" s="2">
        <f>IF(A49=0,"",SUMIF(A22:A33,A15,C22:C33) + C15)</f>
        <v>1447</v>
      </c>
      <c r="D49" s="2">
        <f>IF(A49=0,"",SUMIF(A22:A33,A15,D22:D33) + D15)</f>
        <v>0</v>
      </c>
      <c r="E49" s="2">
        <f>IF(A49=0,"",SUMIF(A22:A33,A15,E22:E33) + E15)</f>
        <v>25</v>
      </c>
      <c r="F49" s="2">
        <f>IF(A49=0,"",SUMIF(A22:A33,A15,F22:F33) + F15)</f>
        <v>28</v>
      </c>
      <c r="G49" s="2">
        <f>IF(A49=0,"",SUMIF(A22:A33,A15,G22:G33) + G15)</f>
        <v>5649</v>
      </c>
      <c r="H49" s="2">
        <f>IF(A49=0,"",SUMIF(A22:A33,A15,H22:H33) + H15)</f>
        <v>0</v>
      </c>
      <c r="I49" s="2">
        <f>IF(A49=0,"",SUMIF(A22:A33,A15,I22:I33) + I15)</f>
        <v>780</v>
      </c>
      <c r="J49" s="2">
        <f>IF(A49=0,"",SUMIF(A22:A33,A15,J22:J33) + J15)</f>
        <v>1238</v>
      </c>
      <c r="K49" s="2">
        <f>IF(A49=0,"",SUMIF(A22:A33,A15,K22:K33) + K15)</f>
        <v>6951</v>
      </c>
      <c r="L49" s="2">
        <f>IF(A49=0,"",SUMIF(A22:A33,A15,L22:L33) + L15)</f>
        <v>0</v>
      </c>
      <c r="M49" s="2">
        <f>IF(A49=0,"",SUMIF(A22:A33,A15,M22:M33) + M15)</f>
        <v>0</v>
      </c>
      <c r="N49" s="2">
        <f>IF(A49=0,"",SUMIF(A22:A33,A15,N22:N33) + N15)</f>
        <v>72</v>
      </c>
      <c r="O49" s="2">
        <f>IF(A49=0,"",SUMIF(A22:A33,A15,O22:O33) + O15)</f>
        <v>298</v>
      </c>
      <c r="P49" s="2">
        <f>IF(A49=0,"",SUMIF(A22:A33,A15,P22:P33) + P15)</f>
        <v>77</v>
      </c>
      <c r="Q49" s="2">
        <f>IF(A49=0,"",SUMIF(A22:A33,A15,Q22:Q33) + Q15)</f>
        <v>0</v>
      </c>
      <c r="R49" s="2">
        <f>IF(A49=0,"",SUMIF(A22:A33,A15,R22:R33) + R15)</f>
        <v>2784</v>
      </c>
      <c r="S49" s="2">
        <f>IF(A49=0,"",SUMIF(A22:A33,A15,S22:S33) + S15)</f>
        <v>0</v>
      </c>
      <c r="T49" s="2">
        <f>IF(A49=0,"",SUMIF(A22:A33,A15,T22:T33) + T15)</f>
        <v>32</v>
      </c>
      <c r="U49" s="2">
        <f>IF(A49=0,"",SUMIF(A22:A33,A15,U22:U33) + U15)</f>
        <v>45</v>
      </c>
      <c r="V49" s="2">
        <f>IF(A49=0,"",SUMIF(A22:A33,A15,V22:V33) + V15)</f>
        <v>0</v>
      </c>
      <c r="W49" s="2">
        <f>IF(A49=0,"",SUMIF(A22:A33,A15,W22:W33) + W15)</f>
        <v>0</v>
      </c>
      <c r="X49" s="2">
        <f>IF(A49=0,"",SUMIF(A22:A33,A15,X22:X33) + X15)</f>
        <v>5911</v>
      </c>
      <c r="Y49" s="2">
        <f>IF(A49=0,"",SUMIF(A22:A33,A15,Y22:Y33) + Y15)</f>
        <v>0</v>
      </c>
      <c r="Z49" s="2">
        <f>IF(A49=0,"",SUMIF(A22:A33,A15,Z22:Z33) + Z15)</f>
        <v>163</v>
      </c>
      <c r="AA49" s="2">
        <f>IF(A49=0,"",SUMIF(A22:A33,A15,AA22:AA33) + AA15)</f>
        <v>2099</v>
      </c>
      <c r="AB49" s="2">
        <f>IFERROR(IF(A49=0,"",SUMIF(A22:A33,A15,AB22:AB33) + AB15 - AF15) + SUMIF(A22:A33,A15,AD22:AD33),"")</f>
        <v>20174</v>
      </c>
      <c r="AC49" s="2">
        <f>IF(A49=0,"",SUMIF(A22:A33,A15,AC22:AC33) + SUMIF(A22:A33,A15,AE22:AE33) + AF15)</f>
        <v>26469</v>
      </c>
      <c r="AD49" s="2">
        <f>IF(A49=0,"",SUMIF(A22:A33,A15,AF22:AF33) + AD15)</f>
        <v>328</v>
      </c>
      <c r="AE49" s="2">
        <f>IF(A49=0,"",SUMIF(A22:A33,A15,AG22:AG33) + AE15)</f>
        <v>0</v>
      </c>
      <c r="AF49" s="2">
        <f>IF(A49=0,"",SUMIF(A22:A33,A15,AD22:AD33))</f>
        <v>0</v>
      </c>
      <c r="AG49" s="2">
        <f>IF(A49=0,"",SUMIF(A22:A33,A15,AE22:AE33))</f>
        <v>0</v>
      </c>
      <c r="AH49" s="2"/>
    </row>
    <row r="50" spans="1:34" x14ac:dyDescent="0.5">
      <c r="A50" t="str">
        <f t="shared" si="2"/>
        <v>2017/02/01</v>
      </c>
      <c r="B50" s="2">
        <f>IF(A50=0,"",SUMIF(A22:A33,A16,B22:B33) + B16)</f>
        <v>46643</v>
      </c>
      <c r="C50" s="2">
        <f>IF(A50=0,"",SUMIF(A22:A33,A16,C22:C33) + C16)</f>
        <v>792</v>
      </c>
      <c r="D50" s="2">
        <f>IF(A50=0,"",SUMIF(A22:A33,A16,D22:D33) + D16)</f>
        <v>0</v>
      </c>
      <c r="E50" s="2">
        <f>IF(A50=0,"",SUMIF(A22:A33,A16,E22:E33) + E16)</f>
        <v>0</v>
      </c>
      <c r="F50" s="2">
        <f>IF(A50=0,"",SUMIF(A22:A33,A16,F22:F33) + F16)</f>
        <v>0</v>
      </c>
      <c r="G50" s="2">
        <f>IF(A50=0,"",SUMIF(A22:A33,A16,G22:G33) + G16)</f>
        <v>4952</v>
      </c>
      <c r="H50" s="2">
        <f>IF(A50=0,"",SUMIF(A22:A33,A16,H22:H33) + H16)</f>
        <v>95</v>
      </c>
      <c r="I50" s="2">
        <f>IF(A50=0,"",SUMIF(A22:A33,A16,I22:I33) + I16)</f>
        <v>715</v>
      </c>
      <c r="J50" s="2">
        <f>IF(A50=0,"",SUMIF(A22:A33,A16,J22:J33) + J16)</f>
        <v>3769</v>
      </c>
      <c r="K50" s="2">
        <f>IF(A50=0,"",SUMIF(A22:A33,A16,K22:K33) + K16)</f>
        <v>7178</v>
      </c>
      <c r="L50" s="2">
        <f>IF(A50=0,"",SUMIF(A22:A33,A16,L22:L33) + L16)</f>
        <v>0</v>
      </c>
      <c r="M50" s="2">
        <f>IF(A50=0,"",SUMIF(A22:A33,A16,M22:M33) + M16)</f>
        <v>0</v>
      </c>
      <c r="N50" s="2">
        <f>IF(A50=0,"",SUMIF(A22:A33,A16,N22:N33) + N16)</f>
        <v>62</v>
      </c>
      <c r="O50" s="2">
        <f>IF(A50=0,"",SUMIF(A22:A33,A16,O22:O33) + O16)</f>
        <v>337</v>
      </c>
      <c r="P50" s="2">
        <f>IF(A50=0,"",SUMIF(A22:A33,A16,P22:P33) + P16)</f>
        <v>48</v>
      </c>
      <c r="Q50" s="2">
        <f>IF(A50=0,"",SUMIF(A22:A33,A16,Q22:Q33) + Q16)</f>
        <v>0</v>
      </c>
      <c r="R50" s="2">
        <f>IF(A50=0,"",SUMIF(A22:A33,A16,R22:R33) + R16)</f>
        <v>510</v>
      </c>
      <c r="S50" s="2">
        <f>IF(A50=0,"",SUMIF(A22:A33,A16,S22:S33) + S16)</f>
        <v>0</v>
      </c>
      <c r="T50" s="2">
        <f>IF(A50=0,"",SUMIF(A22:A33,A16,T22:T33) + T16)</f>
        <v>0</v>
      </c>
      <c r="U50" s="2">
        <f>IF(A50=0,"",SUMIF(A22:A33,A16,U22:U33) + U16)</f>
        <v>72</v>
      </c>
      <c r="V50" s="2">
        <f>IF(A50=0,"",SUMIF(A22:A33,A16,V22:V33) + V16)</f>
        <v>0</v>
      </c>
      <c r="W50" s="2">
        <f>IF(A50=0,"",SUMIF(A22:A33,A16,W22:W33) + W16)</f>
        <v>0</v>
      </c>
      <c r="X50" s="2">
        <f>IF(A50=0,"",SUMIF(A22:A33,A16,X22:X33) + X16)</f>
        <v>4827</v>
      </c>
      <c r="Y50" s="2">
        <f>IF(A50=0,"",SUMIF(A22:A33,A16,Y22:Y33) + Y16)</f>
        <v>0</v>
      </c>
      <c r="Z50" s="2">
        <f>IF(A50=0,"",SUMIF(A22:A33,A16,Z22:Z33) + Z16)</f>
        <v>151</v>
      </c>
      <c r="AA50" s="2">
        <f>IF(A50=0,"",SUMIF(A22:A33,A16,AA22:AA33) + AA16)</f>
        <v>475</v>
      </c>
      <c r="AB50" s="2">
        <f>IFERROR(IF(A50=0,"",SUMIF(A22:A33,A16,AB22:AB33) + AB16 - AF16) + SUMIF(A22:A33,A16,AD22:AD33),"")</f>
        <v>14987</v>
      </c>
      <c r="AC50" s="2">
        <f>IF(A50=0,"",SUMIF(A22:A33,A16,AC22:AC33) + SUMIF(A22:A33,A16,AE22:AE33) + AF16)</f>
        <v>19351</v>
      </c>
      <c r="AD50" s="2">
        <f>IF(A50=0,"",SUMIF(A22:A33,A16,AF22:AF33) + AD16)</f>
        <v>116</v>
      </c>
      <c r="AE50" s="2">
        <f>IF(A50=0,"",SUMIF(A22:A33,A16,AG22:AG33) + AE16)</f>
        <v>0</v>
      </c>
      <c r="AF50" s="2">
        <f>IF(A50=0,"",SUMIF(A22:A33,A16,AD22:AD33))</f>
        <v>0</v>
      </c>
      <c r="AG50" s="2">
        <f>IF(A50=0,"",SUMIF(A22:A33,A16,AE22:AE33))</f>
        <v>0</v>
      </c>
      <c r="AH50" s="2"/>
    </row>
    <row r="51" spans="1:34" x14ac:dyDescent="0.5">
      <c r="A51" s="1"/>
      <c r="B51" s="3"/>
      <c r="C51" s="4">
        <f t="shared" ref="C51:AG51" si="3">SUM(C39:C50)</f>
        <v>52601</v>
      </c>
      <c r="D51" s="5">
        <f t="shared" si="3"/>
        <v>0</v>
      </c>
      <c r="E51" s="5">
        <f t="shared" si="3"/>
        <v>142909</v>
      </c>
      <c r="F51" s="5">
        <f t="shared" si="3"/>
        <v>85547</v>
      </c>
      <c r="G51" s="5">
        <f t="shared" si="3"/>
        <v>56197</v>
      </c>
      <c r="H51" s="5">
        <f t="shared" si="3"/>
        <v>4612</v>
      </c>
      <c r="I51" s="5">
        <f t="shared" si="3"/>
        <v>5622</v>
      </c>
      <c r="J51" s="5">
        <f t="shared" si="3"/>
        <v>28651</v>
      </c>
      <c r="K51" s="5">
        <f t="shared" si="3"/>
        <v>97363</v>
      </c>
      <c r="L51" s="5">
        <f t="shared" si="3"/>
        <v>0</v>
      </c>
      <c r="M51" s="5">
        <f t="shared" si="3"/>
        <v>0</v>
      </c>
      <c r="N51" s="5">
        <f t="shared" si="3"/>
        <v>937</v>
      </c>
      <c r="O51" s="5">
        <f t="shared" si="3"/>
        <v>3227</v>
      </c>
      <c r="P51" s="5">
        <f t="shared" si="3"/>
        <v>981</v>
      </c>
      <c r="Q51" s="5">
        <f t="shared" si="3"/>
        <v>0</v>
      </c>
      <c r="R51" s="5">
        <f t="shared" si="3"/>
        <v>52421</v>
      </c>
      <c r="S51" s="5">
        <f t="shared" si="3"/>
        <v>35034</v>
      </c>
      <c r="T51" s="5">
        <f t="shared" si="3"/>
        <v>181</v>
      </c>
      <c r="U51" s="5">
        <f t="shared" si="3"/>
        <v>1161</v>
      </c>
      <c r="V51" s="5">
        <f t="shared" si="3"/>
        <v>0</v>
      </c>
      <c r="W51" s="5">
        <f t="shared" si="3"/>
        <v>5556</v>
      </c>
      <c r="X51" s="5">
        <f t="shared" si="3"/>
        <v>137479</v>
      </c>
      <c r="Y51" s="5">
        <f t="shared" si="3"/>
        <v>0</v>
      </c>
      <c r="Z51" s="5">
        <f t="shared" si="3"/>
        <v>2113</v>
      </c>
      <c r="AA51" s="5">
        <f t="shared" si="3"/>
        <v>9997</v>
      </c>
      <c r="AB51" s="5">
        <f t="shared" si="3"/>
        <v>456170</v>
      </c>
      <c r="AC51" s="5">
        <f t="shared" si="3"/>
        <v>362545</v>
      </c>
      <c r="AD51" s="5">
        <f t="shared" si="3"/>
        <v>2141</v>
      </c>
      <c r="AE51" s="5">
        <f t="shared" si="3"/>
        <v>0</v>
      </c>
      <c r="AF51" s="5">
        <f t="shared" si="3"/>
        <v>0</v>
      </c>
      <c r="AG51" s="6">
        <f t="shared" si="3"/>
        <v>0</v>
      </c>
      <c r="AH51" s="3"/>
    </row>
    <row r="53" spans="1:34" x14ac:dyDescent="0.5">
      <c r="A53" s="1" t="s">
        <v>55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x14ac:dyDescent="0.5">
      <c r="A54" s="1" t="s">
        <v>2</v>
      </c>
      <c r="B54" s="3" t="s">
        <v>3</v>
      </c>
      <c r="C54" s="3" t="s">
        <v>4</v>
      </c>
      <c r="D54" s="3" t="s">
        <v>5</v>
      </c>
      <c r="E54" s="3" t="s">
        <v>6</v>
      </c>
      <c r="F54" s="3" t="s">
        <v>7</v>
      </c>
      <c r="G54" s="3" t="s">
        <v>8</v>
      </c>
      <c r="H54" s="3" t="s">
        <v>9</v>
      </c>
      <c r="I54" s="3" t="s">
        <v>10</v>
      </c>
      <c r="J54" s="3" t="s">
        <v>11</v>
      </c>
      <c r="K54" s="3" t="s">
        <v>12</v>
      </c>
      <c r="L54" s="3" t="s">
        <v>13</v>
      </c>
      <c r="M54" s="3" t="s">
        <v>14</v>
      </c>
      <c r="N54" s="3" t="s">
        <v>15</v>
      </c>
      <c r="O54" s="3" t="s">
        <v>16</v>
      </c>
      <c r="P54" s="3" t="s">
        <v>17</v>
      </c>
      <c r="Q54" s="3" t="s">
        <v>18</v>
      </c>
      <c r="R54" s="3" t="s">
        <v>19</v>
      </c>
      <c r="S54" s="3" t="s">
        <v>20</v>
      </c>
      <c r="T54" s="3" t="s">
        <v>21</v>
      </c>
      <c r="U54" s="3" t="s">
        <v>22</v>
      </c>
      <c r="V54" s="3" t="s">
        <v>23</v>
      </c>
      <c r="W54" s="3" t="s">
        <v>24</v>
      </c>
      <c r="X54" s="3" t="s">
        <v>25</v>
      </c>
      <c r="Y54" s="3" t="s">
        <v>26</v>
      </c>
      <c r="Z54" s="3" t="s">
        <v>27</v>
      </c>
      <c r="AA54" s="3" t="s">
        <v>28</v>
      </c>
      <c r="AB54" s="3" t="s">
        <v>29</v>
      </c>
      <c r="AC54" s="3" t="s">
        <v>30</v>
      </c>
      <c r="AD54" s="3" t="s">
        <v>31</v>
      </c>
      <c r="AE54" s="3" t="s">
        <v>32</v>
      </c>
      <c r="AF54" s="3" t="s">
        <v>33</v>
      </c>
      <c r="AG54" s="3"/>
      <c r="AH54" s="3"/>
    </row>
    <row r="55" spans="1:34" x14ac:dyDescent="0.5">
      <c r="A55" t="s">
        <v>56</v>
      </c>
      <c r="B55" s="2">
        <v>66266</v>
      </c>
      <c r="C55" s="2">
        <v>1901</v>
      </c>
      <c r="D55" s="2">
        <v>0</v>
      </c>
      <c r="E55" s="2">
        <v>0</v>
      </c>
      <c r="F55" s="2">
        <v>0</v>
      </c>
      <c r="G55" s="2">
        <v>6886</v>
      </c>
      <c r="H55" s="2">
        <v>13</v>
      </c>
      <c r="I55" s="2">
        <v>12</v>
      </c>
      <c r="J55" s="2">
        <v>749</v>
      </c>
      <c r="K55" s="2">
        <v>9209</v>
      </c>
      <c r="L55" s="2">
        <v>0</v>
      </c>
      <c r="M55" s="2">
        <v>0</v>
      </c>
      <c r="N55" s="2">
        <v>105</v>
      </c>
      <c r="O55" s="2">
        <v>283</v>
      </c>
      <c r="P55" s="2">
        <v>102</v>
      </c>
      <c r="Q55" s="2">
        <v>0</v>
      </c>
      <c r="R55" s="2">
        <v>3100</v>
      </c>
      <c r="S55" s="2">
        <v>0</v>
      </c>
      <c r="T55" s="2">
        <v>158</v>
      </c>
      <c r="U55" s="2">
        <v>87</v>
      </c>
      <c r="V55" s="2"/>
      <c r="W55" s="2">
        <v>0</v>
      </c>
      <c r="X55" s="2">
        <v>7142</v>
      </c>
      <c r="Y55" s="2">
        <v>0</v>
      </c>
      <c r="Z55" s="2">
        <v>348</v>
      </c>
      <c r="AA55" s="2">
        <v>2560</v>
      </c>
      <c r="AB55" s="2">
        <v>51211</v>
      </c>
      <c r="AC55" s="2">
        <v>0</v>
      </c>
      <c r="AD55" s="2">
        <v>0</v>
      </c>
      <c r="AE55" s="2">
        <v>0</v>
      </c>
      <c r="AF55" s="2">
        <v>15539</v>
      </c>
      <c r="AG55" s="2"/>
      <c r="AH55" s="2"/>
    </row>
    <row r="56" spans="1:34" x14ac:dyDescent="0.5">
      <c r="A56" t="s">
        <v>57</v>
      </c>
      <c r="B56" s="2">
        <v>51211</v>
      </c>
      <c r="C56" s="2">
        <v>5432</v>
      </c>
      <c r="D56" s="2">
        <v>0</v>
      </c>
      <c r="E56" s="2">
        <v>0</v>
      </c>
      <c r="F56" s="2">
        <v>0</v>
      </c>
      <c r="G56" s="2">
        <v>16987</v>
      </c>
      <c r="H56" s="2">
        <v>76</v>
      </c>
      <c r="I56" s="2">
        <v>14</v>
      </c>
      <c r="J56" s="2">
        <v>839</v>
      </c>
      <c r="K56" s="2">
        <v>5612</v>
      </c>
      <c r="L56" s="2">
        <v>0</v>
      </c>
      <c r="M56" s="2">
        <v>0</v>
      </c>
      <c r="N56" s="2">
        <v>66</v>
      </c>
      <c r="O56" s="2">
        <v>193</v>
      </c>
      <c r="P56" s="2">
        <v>92</v>
      </c>
      <c r="Q56" s="2">
        <v>0</v>
      </c>
      <c r="R56" s="2">
        <v>3107</v>
      </c>
      <c r="S56" s="2">
        <v>0</v>
      </c>
      <c r="T56" s="2">
        <v>80</v>
      </c>
      <c r="U56" s="2">
        <v>195</v>
      </c>
      <c r="V56" s="2"/>
      <c r="W56" s="2">
        <v>0</v>
      </c>
      <c r="X56" s="2">
        <v>17176</v>
      </c>
      <c r="Y56" s="2">
        <v>0</v>
      </c>
      <c r="Z56" s="2">
        <v>241</v>
      </c>
      <c r="AA56" s="2">
        <v>2</v>
      </c>
      <c r="AB56" s="2">
        <v>46089</v>
      </c>
      <c r="AC56" s="2">
        <v>0</v>
      </c>
      <c r="AD56" s="2">
        <v>0</v>
      </c>
      <c r="AE56" s="2">
        <v>0</v>
      </c>
      <c r="AF56" s="2">
        <v>23758</v>
      </c>
      <c r="AG56" s="2"/>
      <c r="AH56" s="2"/>
    </row>
    <row r="57" spans="1:34" x14ac:dyDescent="0.5">
      <c r="A57" t="s">
        <v>58</v>
      </c>
      <c r="B57" s="2">
        <v>46089</v>
      </c>
      <c r="C57" s="2">
        <v>43494</v>
      </c>
      <c r="D57" s="2">
        <v>0</v>
      </c>
      <c r="E57" s="2">
        <v>5000</v>
      </c>
      <c r="F57" s="2">
        <v>5000</v>
      </c>
      <c r="G57" s="2">
        <v>3247</v>
      </c>
      <c r="H57" s="2">
        <v>49</v>
      </c>
      <c r="I57" s="2">
        <v>10</v>
      </c>
      <c r="J57" s="2">
        <v>820</v>
      </c>
      <c r="K57" s="2">
        <v>6858</v>
      </c>
      <c r="L57" s="2">
        <v>0</v>
      </c>
      <c r="M57" s="2">
        <v>0</v>
      </c>
      <c r="N57" s="2">
        <v>50</v>
      </c>
      <c r="O57" s="2">
        <v>219</v>
      </c>
      <c r="P57" s="2">
        <v>75</v>
      </c>
      <c r="Q57" s="2">
        <v>0</v>
      </c>
      <c r="R57" s="2">
        <v>1867</v>
      </c>
      <c r="S57" s="2">
        <v>0</v>
      </c>
      <c r="T57" s="2">
        <v>191</v>
      </c>
      <c r="U57" s="2">
        <v>263</v>
      </c>
      <c r="V57" s="2"/>
      <c r="W57" s="2">
        <v>5019</v>
      </c>
      <c r="X57" s="2">
        <v>3123</v>
      </c>
      <c r="Y57" s="2">
        <v>0</v>
      </c>
      <c r="Z57" s="2">
        <v>282</v>
      </c>
      <c r="AA57" s="2">
        <v>236</v>
      </c>
      <c r="AB57" s="2">
        <v>83866</v>
      </c>
      <c r="AC57" s="2">
        <v>0</v>
      </c>
      <c r="AD57" s="2">
        <v>0</v>
      </c>
      <c r="AE57" s="2">
        <v>0</v>
      </c>
      <c r="AF57" s="2">
        <v>30119</v>
      </c>
      <c r="AG57" s="2"/>
      <c r="AH57" s="2"/>
    </row>
    <row r="58" spans="1:34" x14ac:dyDescent="0.5">
      <c r="A58" t="s">
        <v>59</v>
      </c>
      <c r="B58" s="2">
        <v>83866</v>
      </c>
      <c r="C58" s="2">
        <v>26673</v>
      </c>
      <c r="D58" s="2">
        <v>0</v>
      </c>
      <c r="E58" s="2">
        <v>0</v>
      </c>
      <c r="F58" s="2">
        <v>0</v>
      </c>
      <c r="G58" s="2">
        <v>3880</v>
      </c>
      <c r="H58" s="2">
        <v>385</v>
      </c>
      <c r="I58" s="2">
        <v>16</v>
      </c>
      <c r="J58" s="2">
        <v>2527</v>
      </c>
      <c r="K58" s="2">
        <v>7142</v>
      </c>
      <c r="L58" s="2">
        <v>0</v>
      </c>
      <c r="M58" s="2">
        <v>0</v>
      </c>
      <c r="N58" s="2">
        <v>86</v>
      </c>
      <c r="O58" s="2">
        <v>194</v>
      </c>
      <c r="P58" s="2">
        <v>76</v>
      </c>
      <c r="Q58" s="2">
        <v>0</v>
      </c>
      <c r="R58" s="2">
        <v>1110</v>
      </c>
      <c r="S58" s="2">
        <v>0</v>
      </c>
      <c r="T58" s="2">
        <v>82</v>
      </c>
      <c r="U58" s="2">
        <v>109</v>
      </c>
      <c r="V58" s="2"/>
      <c r="W58" s="2">
        <v>0</v>
      </c>
      <c r="X58" s="2">
        <v>4035</v>
      </c>
      <c r="Y58" s="2">
        <v>0</v>
      </c>
      <c r="Z58" s="2">
        <v>537</v>
      </c>
      <c r="AA58" s="2">
        <v>14</v>
      </c>
      <c r="AB58" s="2">
        <v>98876</v>
      </c>
      <c r="AC58" s="2">
        <v>0</v>
      </c>
      <c r="AD58" s="2">
        <v>0</v>
      </c>
      <c r="AE58" s="2">
        <v>0</v>
      </c>
      <c r="AF58" s="2">
        <v>39157</v>
      </c>
      <c r="AG58" s="2"/>
      <c r="AH58" s="2"/>
    </row>
    <row r="59" spans="1:34" x14ac:dyDescent="0.5">
      <c r="A59" t="s">
        <v>60</v>
      </c>
      <c r="B59" s="2">
        <v>98876</v>
      </c>
      <c r="C59" s="2">
        <v>8698</v>
      </c>
      <c r="D59" s="2">
        <v>0</v>
      </c>
      <c r="E59" s="2">
        <v>0</v>
      </c>
      <c r="F59" s="2">
        <v>0</v>
      </c>
      <c r="G59" s="2">
        <v>12136</v>
      </c>
      <c r="H59" s="2">
        <v>76</v>
      </c>
      <c r="I59" s="2">
        <v>16</v>
      </c>
      <c r="J59" s="2">
        <v>788</v>
      </c>
      <c r="K59" s="2">
        <v>8254</v>
      </c>
      <c r="L59" s="2">
        <v>0</v>
      </c>
      <c r="M59" s="2">
        <v>0</v>
      </c>
      <c r="N59" s="2">
        <v>94</v>
      </c>
      <c r="O59" s="2">
        <v>269</v>
      </c>
      <c r="P59" s="2">
        <v>57</v>
      </c>
      <c r="Q59" s="2">
        <v>0</v>
      </c>
      <c r="R59" s="2">
        <v>1471</v>
      </c>
      <c r="S59" s="2">
        <v>0</v>
      </c>
      <c r="T59" s="2">
        <v>52</v>
      </c>
      <c r="U59" s="2">
        <v>74</v>
      </c>
      <c r="V59" s="2"/>
      <c r="W59" s="2">
        <v>0</v>
      </c>
      <c r="X59" s="2">
        <v>12225</v>
      </c>
      <c r="Y59" s="2">
        <v>0</v>
      </c>
      <c r="Z59" s="2">
        <v>190</v>
      </c>
      <c r="AA59" s="2">
        <v>2</v>
      </c>
      <c r="AB59" s="2">
        <v>96294</v>
      </c>
      <c r="AC59" s="2">
        <v>0</v>
      </c>
      <c r="AD59" s="2">
        <v>0</v>
      </c>
      <c r="AE59" s="2">
        <v>0</v>
      </c>
      <c r="AF59" s="2">
        <v>47826</v>
      </c>
      <c r="AG59" s="2"/>
      <c r="AH59" s="2"/>
    </row>
    <row r="60" spans="1:34" x14ac:dyDescent="0.5">
      <c r="A60" t="s">
        <v>61</v>
      </c>
      <c r="B60" s="2">
        <v>96294</v>
      </c>
      <c r="C60" s="2">
        <v>2858</v>
      </c>
      <c r="D60" s="2">
        <v>0</v>
      </c>
      <c r="E60" s="2">
        <v>4987</v>
      </c>
      <c r="F60" s="2">
        <v>4996</v>
      </c>
      <c r="G60" s="2">
        <v>5857</v>
      </c>
      <c r="H60" s="2">
        <v>92</v>
      </c>
      <c r="I60" s="2">
        <v>15</v>
      </c>
      <c r="J60" s="2">
        <v>1854</v>
      </c>
      <c r="K60" s="2">
        <v>8600</v>
      </c>
      <c r="L60" s="2">
        <v>0</v>
      </c>
      <c r="M60" s="2">
        <v>0</v>
      </c>
      <c r="N60" s="2">
        <v>72</v>
      </c>
      <c r="O60" s="2">
        <v>212</v>
      </c>
      <c r="P60" s="2">
        <v>79</v>
      </c>
      <c r="Q60" s="2">
        <v>0</v>
      </c>
      <c r="R60" s="2">
        <v>2551</v>
      </c>
      <c r="S60" s="2">
        <v>0</v>
      </c>
      <c r="T60" s="2">
        <v>163</v>
      </c>
      <c r="U60" s="2">
        <v>45</v>
      </c>
      <c r="V60" s="2"/>
      <c r="W60" s="2">
        <v>5006</v>
      </c>
      <c r="X60" s="2">
        <v>5596</v>
      </c>
      <c r="Y60" s="2">
        <v>0</v>
      </c>
      <c r="Z60" s="2">
        <v>104</v>
      </c>
      <c r="AA60" s="2">
        <v>495</v>
      </c>
      <c r="AB60" s="2">
        <v>90292</v>
      </c>
      <c r="AC60" s="2">
        <v>0</v>
      </c>
      <c r="AD60" s="2">
        <v>0</v>
      </c>
      <c r="AE60" s="2">
        <v>0</v>
      </c>
      <c r="AF60" s="2">
        <v>43449</v>
      </c>
      <c r="AG60" s="2"/>
      <c r="AH60" s="2"/>
    </row>
    <row r="61" spans="1:34" x14ac:dyDescent="0.5">
      <c r="A61" t="s">
        <v>62</v>
      </c>
      <c r="B61" s="2">
        <v>90292</v>
      </c>
      <c r="C61" s="2">
        <v>1703</v>
      </c>
      <c r="D61" s="2">
        <v>0</v>
      </c>
      <c r="E61" s="2">
        <v>5024</v>
      </c>
      <c r="F61" s="2">
        <v>5036</v>
      </c>
      <c r="G61" s="2">
        <v>5277</v>
      </c>
      <c r="H61" s="2">
        <v>362</v>
      </c>
      <c r="I61" s="2">
        <v>19</v>
      </c>
      <c r="J61" s="2">
        <v>541</v>
      </c>
      <c r="K61" s="2">
        <v>7780</v>
      </c>
      <c r="L61" s="2">
        <v>0</v>
      </c>
      <c r="M61" s="2">
        <v>0</v>
      </c>
      <c r="N61" s="2">
        <v>96</v>
      </c>
      <c r="O61" s="2">
        <v>189</v>
      </c>
      <c r="P61" s="2">
        <v>70</v>
      </c>
      <c r="Q61" s="2">
        <v>0</v>
      </c>
      <c r="R61" s="2">
        <v>5305</v>
      </c>
      <c r="S61" s="2">
        <v>5300</v>
      </c>
      <c r="T61" s="2">
        <v>115</v>
      </c>
      <c r="U61" s="2">
        <v>99</v>
      </c>
      <c r="V61" s="2"/>
      <c r="W61" s="2">
        <v>5067</v>
      </c>
      <c r="X61" s="2">
        <v>5330</v>
      </c>
      <c r="Y61" s="2">
        <v>0</v>
      </c>
      <c r="Z61" s="2">
        <v>106</v>
      </c>
      <c r="AA61" s="2">
        <v>149</v>
      </c>
      <c r="AB61" s="2">
        <v>77528</v>
      </c>
      <c r="AC61" s="2">
        <v>0</v>
      </c>
      <c r="AD61" s="2">
        <v>0</v>
      </c>
      <c r="AE61" s="2">
        <v>0</v>
      </c>
      <c r="AF61" s="2">
        <v>39943</v>
      </c>
      <c r="AG61" s="2"/>
      <c r="AH61" s="2"/>
    </row>
    <row r="62" spans="1:34" x14ac:dyDescent="0.5">
      <c r="A62" t="s">
        <v>63</v>
      </c>
      <c r="B62" s="2">
        <v>77528</v>
      </c>
      <c r="C62" s="2">
        <v>2120</v>
      </c>
      <c r="D62" s="2">
        <v>0</v>
      </c>
      <c r="E62" s="2">
        <v>0</v>
      </c>
      <c r="F62" s="2">
        <v>0</v>
      </c>
      <c r="G62" s="2">
        <v>2968</v>
      </c>
      <c r="H62" s="2">
        <v>58</v>
      </c>
      <c r="I62" s="2">
        <v>0</v>
      </c>
      <c r="J62" s="2">
        <v>748</v>
      </c>
      <c r="K62" s="2">
        <v>7608</v>
      </c>
      <c r="L62" s="2">
        <v>0</v>
      </c>
      <c r="M62" s="2">
        <v>0</v>
      </c>
      <c r="N62" s="2">
        <v>116</v>
      </c>
      <c r="O62" s="2">
        <v>191</v>
      </c>
      <c r="P62" s="2">
        <v>101</v>
      </c>
      <c r="Q62" s="2">
        <v>0</v>
      </c>
      <c r="R62" s="2">
        <v>6402</v>
      </c>
      <c r="S62" s="2">
        <v>0</v>
      </c>
      <c r="T62" s="2">
        <v>33</v>
      </c>
      <c r="U62" s="2">
        <v>569</v>
      </c>
      <c r="V62" s="2"/>
      <c r="W62" s="2">
        <v>0</v>
      </c>
      <c r="X62" s="2">
        <v>2758</v>
      </c>
      <c r="Y62" s="2">
        <v>0</v>
      </c>
      <c r="Z62" s="2">
        <v>83</v>
      </c>
      <c r="AA62" s="2">
        <v>228</v>
      </c>
      <c r="AB62" s="2">
        <v>63837</v>
      </c>
      <c r="AC62" s="2">
        <v>0</v>
      </c>
      <c r="AD62" s="2">
        <v>0</v>
      </c>
      <c r="AE62" s="2">
        <v>0</v>
      </c>
      <c r="AF62" s="2">
        <v>34794</v>
      </c>
      <c r="AG62" s="2"/>
      <c r="AH62" s="2"/>
    </row>
    <row r="63" spans="1:34" x14ac:dyDescent="0.5">
      <c r="A63" t="s">
        <v>64</v>
      </c>
      <c r="B63" s="2">
        <v>63837</v>
      </c>
      <c r="C63" s="2">
        <v>1867</v>
      </c>
      <c r="D63" s="2">
        <v>0</v>
      </c>
      <c r="E63" s="2">
        <v>27301</v>
      </c>
      <c r="F63" s="2">
        <v>10107</v>
      </c>
      <c r="G63" s="2">
        <v>2201</v>
      </c>
      <c r="H63" s="2">
        <v>1528</v>
      </c>
      <c r="I63" s="2">
        <v>20</v>
      </c>
      <c r="J63" s="2">
        <v>2338</v>
      </c>
      <c r="K63" s="2">
        <v>7920</v>
      </c>
      <c r="L63" s="2">
        <v>0</v>
      </c>
      <c r="M63" s="2">
        <v>0</v>
      </c>
      <c r="N63" s="2">
        <v>114</v>
      </c>
      <c r="O63" s="2">
        <v>214</v>
      </c>
      <c r="P63" s="2">
        <v>90</v>
      </c>
      <c r="Q63" s="2">
        <v>0</v>
      </c>
      <c r="R63" s="2">
        <v>4984</v>
      </c>
      <c r="S63" s="2">
        <v>0</v>
      </c>
      <c r="T63" s="2">
        <v>54</v>
      </c>
      <c r="U63" s="2">
        <v>77</v>
      </c>
      <c r="V63" s="2"/>
      <c r="W63" s="2">
        <v>0</v>
      </c>
      <c r="X63" s="2">
        <v>12323</v>
      </c>
      <c r="Y63" s="2">
        <v>0</v>
      </c>
      <c r="Z63" s="2">
        <v>178</v>
      </c>
      <c r="AA63" s="2">
        <v>23</v>
      </c>
      <c r="AB63" s="2">
        <v>78506</v>
      </c>
      <c r="AC63" s="2">
        <v>0</v>
      </c>
      <c r="AD63" s="2">
        <v>0</v>
      </c>
      <c r="AE63" s="2">
        <v>0</v>
      </c>
      <c r="AF63" s="2">
        <v>37582</v>
      </c>
      <c r="AG63" s="2"/>
      <c r="AH63" s="2"/>
    </row>
    <row r="64" spans="1:34" x14ac:dyDescent="0.5">
      <c r="A64" t="s">
        <v>65</v>
      </c>
      <c r="B64" s="2">
        <v>78506</v>
      </c>
      <c r="C64" s="2">
        <v>1616</v>
      </c>
      <c r="D64" s="2">
        <v>0</v>
      </c>
      <c r="E64" s="2">
        <v>0</v>
      </c>
      <c r="F64" s="2">
        <v>17027</v>
      </c>
      <c r="G64" s="2">
        <v>3042</v>
      </c>
      <c r="H64" s="2">
        <v>369</v>
      </c>
      <c r="I64" s="2">
        <v>21</v>
      </c>
      <c r="J64" s="2">
        <v>3196</v>
      </c>
      <c r="K64" s="2">
        <v>6409</v>
      </c>
      <c r="L64" s="2">
        <v>0</v>
      </c>
      <c r="M64" s="2">
        <v>0</v>
      </c>
      <c r="N64" s="2">
        <v>56</v>
      </c>
      <c r="O64" s="2">
        <v>177</v>
      </c>
      <c r="P64" s="2">
        <v>71</v>
      </c>
      <c r="Q64" s="2">
        <v>0</v>
      </c>
      <c r="R64" s="2">
        <v>816</v>
      </c>
      <c r="S64" s="2">
        <v>0</v>
      </c>
      <c r="T64" s="2">
        <v>19</v>
      </c>
      <c r="U64" s="2">
        <v>74</v>
      </c>
      <c r="V64" s="2"/>
      <c r="W64" s="2">
        <v>0</v>
      </c>
      <c r="X64" s="2">
        <v>20217</v>
      </c>
      <c r="Y64" s="2">
        <v>0</v>
      </c>
      <c r="Z64" s="2">
        <v>109</v>
      </c>
      <c r="AA64" s="2">
        <v>1714</v>
      </c>
      <c r="AB64" s="2">
        <v>67681</v>
      </c>
      <c r="AC64" s="2">
        <v>0</v>
      </c>
      <c r="AD64" s="2">
        <v>0</v>
      </c>
      <c r="AE64" s="2">
        <v>0</v>
      </c>
      <c r="AF64" s="2">
        <v>42319</v>
      </c>
      <c r="AG64" s="2"/>
      <c r="AH64" s="2"/>
    </row>
    <row r="65" spans="1:34" x14ac:dyDescent="0.5">
      <c r="A65" t="s">
        <v>66</v>
      </c>
      <c r="B65" s="2">
        <v>67681</v>
      </c>
      <c r="C65" s="2">
        <v>1329</v>
      </c>
      <c r="D65" s="2">
        <v>0</v>
      </c>
      <c r="E65" s="2">
        <v>7116</v>
      </c>
      <c r="F65" s="2">
        <v>2921</v>
      </c>
      <c r="G65" s="2">
        <v>2592</v>
      </c>
      <c r="H65" s="2">
        <v>83</v>
      </c>
      <c r="I65" s="2">
        <v>91</v>
      </c>
      <c r="J65" s="2">
        <v>2861</v>
      </c>
      <c r="K65" s="2">
        <v>5521</v>
      </c>
      <c r="L65" s="2">
        <v>0</v>
      </c>
      <c r="M65" s="2">
        <v>0</v>
      </c>
      <c r="N65" s="2">
        <v>82</v>
      </c>
      <c r="O65" s="2">
        <v>313</v>
      </c>
      <c r="P65" s="2">
        <v>97</v>
      </c>
      <c r="Q65" s="2">
        <v>0</v>
      </c>
      <c r="R65" s="2">
        <v>1443</v>
      </c>
      <c r="S65" s="2">
        <v>0</v>
      </c>
      <c r="T65" s="2">
        <v>6</v>
      </c>
      <c r="U65" s="2">
        <v>177</v>
      </c>
      <c r="V65" s="2"/>
      <c r="W65" s="2">
        <v>0</v>
      </c>
      <c r="X65" s="2">
        <v>5967</v>
      </c>
      <c r="Y65" s="2">
        <v>0</v>
      </c>
      <c r="Z65" s="2">
        <v>9</v>
      </c>
      <c r="AA65" s="2">
        <v>203</v>
      </c>
      <c r="AB65" s="2">
        <v>64952</v>
      </c>
      <c r="AC65" s="2">
        <v>0</v>
      </c>
      <c r="AD65" s="2">
        <v>0</v>
      </c>
      <c r="AE65" s="2">
        <v>0</v>
      </c>
      <c r="AF65" s="2">
        <v>38601</v>
      </c>
      <c r="AG65" s="2"/>
      <c r="AH65" s="2"/>
    </row>
    <row r="66" spans="1:34" x14ac:dyDescent="0.5">
      <c r="A66" t="s">
        <v>67</v>
      </c>
      <c r="B66" s="2">
        <v>64952</v>
      </c>
      <c r="C66" s="2">
        <v>1498</v>
      </c>
      <c r="D66" s="2">
        <v>0</v>
      </c>
      <c r="E66" s="2">
        <v>15715</v>
      </c>
      <c r="F66" s="2">
        <v>1210</v>
      </c>
      <c r="G66" s="2">
        <v>2270</v>
      </c>
      <c r="H66" s="2">
        <v>2555</v>
      </c>
      <c r="I66" s="2">
        <v>12</v>
      </c>
      <c r="J66" s="2">
        <v>2780</v>
      </c>
      <c r="K66" s="2">
        <v>6309</v>
      </c>
      <c r="L66" s="2">
        <v>0</v>
      </c>
      <c r="M66" s="2">
        <v>0</v>
      </c>
      <c r="N66" s="2">
        <v>92</v>
      </c>
      <c r="O66" s="2">
        <v>260</v>
      </c>
      <c r="P66" s="2">
        <v>137</v>
      </c>
      <c r="Q66" s="2">
        <v>0</v>
      </c>
      <c r="R66" s="2">
        <v>1397</v>
      </c>
      <c r="S66" s="2">
        <v>0</v>
      </c>
      <c r="T66" s="2">
        <v>34</v>
      </c>
      <c r="U66" s="2">
        <v>153</v>
      </c>
      <c r="V66" s="2"/>
      <c r="W66" s="2">
        <v>0</v>
      </c>
      <c r="X66" s="2">
        <v>3320</v>
      </c>
      <c r="Y66" s="2">
        <v>0</v>
      </c>
      <c r="Z66" s="2">
        <v>13</v>
      </c>
      <c r="AA66" s="2">
        <v>498</v>
      </c>
      <c r="AB66" s="2">
        <v>73195</v>
      </c>
      <c r="AC66" s="2">
        <v>0</v>
      </c>
      <c r="AD66" s="2">
        <v>0</v>
      </c>
      <c r="AE66" s="2">
        <v>0</v>
      </c>
      <c r="AF66" s="2">
        <v>34455</v>
      </c>
      <c r="AG66" s="2"/>
      <c r="AH66" s="2"/>
    </row>
    <row r="67" spans="1:34" x14ac:dyDescent="0.5">
      <c r="A67" s="1"/>
      <c r="B67" s="3"/>
      <c r="C67" s="4">
        <f t="shared" ref="C67:AA67" si="4">SUM(C55:C66)</f>
        <v>99189</v>
      </c>
      <c r="D67" s="5">
        <f t="shared" si="4"/>
        <v>0</v>
      </c>
      <c r="E67" s="5">
        <f t="shared" si="4"/>
        <v>65143</v>
      </c>
      <c r="F67" s="5">
        <f t="shared" si="4"/>
        <v>46297</v>
      </c>
      <c r="G67" s="5">
        <f t="shared" si="4"/>
        <v>67343</v>
      </c>
      <c r="H67" s="5">
        <f t="shared" si="4"/>
        <v>5646</v>
      </c>
      <c r="I67" s="5">
        <f t="shared" si="4"/>
        <v>246</v>
      </c>
      <c r="J67" s="5">
        <f t="shared" si="4"/>
        <v>20041</v>
      </c>
      <c r="K67" s="5">
        <f t="shared" si="4"/>
        <v>87222</v>
      </c>
      <c r="L67" s="5">
        <f t="shared" si="4"/>
        <v>0</v>
      </c>
      <c r="M67" s="5">
        <f t="shared" si="4"/>
        <v>0</v>
      </c>
      <c r="N67" s="5">
        <f t="shared" si="4"/>
        <v>1029</v>
      </c>
      <c r="O67" s="5">
        <f t="shared" si="4"/>
        <v>2714</v>
      </c>
      <c r="P67" s="5">
        <f t="shared" si="4"/>
        <v>1047</v>
      </c>
      <c r="Q67" s="5">
        <f t="shared" si="4"/>
        <v>0</v>
      </c>
      <c r="R67" s="5">
        <f t="shared" si="4"/>
        <v>33553</v>
      </c>
      <c r="S67" s="5">
        <f t="shared" si="4"/>
        <v>5300</v>
      </c>
      <c r="T67" s="5">
        <f t="shared" si="4"/>
        <v>987</v>
      </c>
      <c r="U67" s="5">
        <f t="shared" si="4"/>
        <v>1922</v>
      </c>
      <c r="V67" s="5">
        <f t="shared" si="4"/>
        <v>0</v>
      </c>
      <c r="W67" s="5">
        <f t="shared" si="4"/>
        <v>15092</v>
      </c>
      <c r="X67" s="5">
        <f t="shared" si="4"/>
        <v>99212</v>
      </c>
      <c r="Y67" s="5">
        <f t="shared" si="4"/>
        <v>0</v>
      </c>
      <c r="Z67" s="5">
        <f t="shared" si="4"/>
        <v>2200</v>
      </c>
      <c r="AA67" s="5">
        <f t="shared" si="4"/>
        <v>6124</v>
      </c>
      <c r="AB67" s="5"/>
      <c r="AC67" s="5">
        <f>SUM(AC55:AC66)</f>
        <v>0</v>
      </c>
      <c r="AD67" s="5">
        <f>SUM(AD55:AD66)</f>
        <v>0</v>
      </c>
      <c r="AE67" s="5">
        <f>SUM(AE55:AE66)</f>
        <v>0</v>
      </c>
      <c r="AF67" s="6"/>
      <c r="AG67" s="3"/>
      <c r="AH67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zoomScale="55" workbookViewId="0">
      <selection activeCell="K36" sqref="K36"/>
    </sheetView>
  </sheetViews>
  <sheetFormatPr defaultRowHeight="28.2" x14ac:dyDescent="0.5"/>
  <cols>
    <col min="1" max="1" width="86" bestFit="1" customWidth="1"/>
    <col min="2" max="2" width="14" bestFit="1" customWidth="1"/>
    <col min="3" max="3" width="12.8203125" bestFit="1" customWidth="1"/>
    <col min="4" max="4" width="5.8203125" bestFit="1" customWidth="1"/>
    <col min="5" max="5" width="23.3515625" bestFit="1" customWidth="1"/>
    <col min="6" max="6" width="31.703125" bestFit="1" customWidth="1"/>
    <col min="7" max="8" width="9.29296875" bestFit="1" customWidth="1"/>
    <col min="9" max="9" width="11.703125" bestFit="1" customWidth="1"/>
    <col min="10" max="10" width="9.29296875" bestFit="1" customWidth="1"/>
    <col min="11" max="11" width="7" bestFit="1" customWidth="1"/>
  </cols>
  <sheetData>
    <row r="1" spans="1:12" x14ac:dyDescent="0.5">
      <c r="A1" s="1" t="s">
        <v>366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5">
      <c r="A2" s="1" t="s">
        <v>369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5">
      <c r="A4" s="1" t="s">
        <v>2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51</v>
      </c>
      <c r="L4" s="1"/>
    </row>
    <row r="5" spans="1:12" x14ac:dyDescent="0.5">
      <c r="A5" t="s">
        <v>34</v>
      </c>
      <c r="B5">
        <v>312</v>
      </c>
      <c r="C5">
        <v>32</v>
      </c>
      <c r="D5">
        <v>0</v>
      </c>
      <c r="E5">
        <f>0</f>
        <v>0</v>
      </c>
      <c r="F5">
        <f>0</f>
        <v>0</v>
      </c>
      <c r="G5">
        <f>0</f>
        <v>0</v>
      </c>
      <c r="H5">
        <f>0</f>
        <v>0</v>
      </c>
      <c r="I5">
        <f>0</f>
        <v>0</v>
      </c>
      <c r="J5">
        <f>0</f>
        <v>0</v>
      </c>
      <c r="K5" s="1">
        <f t="shared" ref="K5:K15" si="0">SUM(B5:J5)</f>
        <v>344</v>
      </c>
    </row>
    <row r="6" spans="1:12" x14ac:dyDescent="0.5">
      <c r="A6" t="s">
        <v>35</v>
      </c>
      <c r="B6">
        <v>328</v>
      </c>
      <c r="C6">
        <v>34</v>
      </c>
      <c r="D6">
        <v>0</v>
      </c>
      <c r="E6">
        <f>0</f>
        <v>0</v>
      </c>
      <c r="F6">
        <f>0</f>
        <v>0</v>
      </c>
      <c r="G6">
        <f>0</f>
        <v>0</v>
      </c>
      <c r="H6">
        <f>0</f>
        <v>0</v>
      </c>
      <c r="I6">
        <f>0</f>
        <v>0</v>
      </c>
      <c r="J6">
        <f>0</f>
        <v>0</v>
      </c>
      <c r="K6" s="1">
        <f t="shared" si="0"/>
        <v>362</v>
      </c>
    </row>
    <row r="7" spans="1:12" x14ac:dyDescent="0.5">
      <c r="A7" t="s">
        <v>36</v>
      </c>
      <c r="B7">
        <v>404</v>
      </c>
      <c r="C7">
        <v>0</v>
      </c>
      <c r="D7">
        <v>0</v>
      </c>
      <c r="E7">
        <f>0</f>
        <v>0</v>
      </c>
      <c r="F7">
        <f>0</f>
        <v>0</v>
      </c>
      <c r="G7">
        <f>0</f>
        <v>0</v>
      </c>
      <c r="H7">
        <f>0</f>
        <v>0</v>
      </c>
      <c r="I7">
        <f>0</f>
        <v>0</v>
      </c>
      <c r="J7">
        <f>0</f>
        <v>0</v>
      </c>
      <c r="K7" s="1">
        <f t="shared" si="0"/>
        <v>404</v>
      </c>
    </row>
    <row r="8" spans="1:12" x14ac:dyDescent="0.5">
      <c r="A8" t="s">
        <v>37</v>
      </c>
      <c r="B8">
        <v>380</v>
      </c>
      <c r="C8">
        <v>34</v>
      </c>
      <c r="D8">
        <v>0</v>
      </c>
      <c r="E8">
        <f>0</f>
        <v>0</v>
      </c>
      <c r="F8">
        <f>0</f>
        <v>0</v>
      </c>
      <c r="G8">
        <f>0</f>
        <v>0</v>
      </c>
      <c r="H8">
        <f>0</f>
        <v>0</v>
      </c>
      <c r="I8">
        <f>0</f>
        <v>0</v>
      </c>
      <c r="J8">
        <f>0</f>
        <v>0</v>
      </c>
      <c r="K8" s="1">
        <f t="shared" si="0"/>
        <v>414</v>
      </c>
    </row>
    <row r="9" spans="1:12" x14ac:dyDescent="0.5">
      <c r="A9" t="s">
        <v>38</v>
      </c>
      <c r="B9">
        <v>381</v>
      </c>
      <c r="C9">
        <v>34</v>
      </c>
      <c r="D9">
        <v>0</v>
      </c>
      <c r="E9">
        <f>0</f>
        <v>0</v>
      </c>
      <c r="F9">
        <f>0</f>
        <v>0</v>
      </c>
      <c r="G9">
        <f>0</f>
        <v>0</v>
      </c>
      <c r="H9">
        <f>0</f>
        <v>0</v>
      </c>
      <c r="I9">
        <f>0</f>
        <v>0</v>
      </c>
      <c r="J9">
        <f>0</f>
        <v>0</v>
      </c>
      <c r="K9" s="1">
        <f t="shared" si="0"/>
        <v>415</v>
      </c>
    </row>
    <row r="10" spans="1:12" x14ac:dyDescent="0.5">
      <c r="A10" t="s">
        <v>39</v>
      </c>
      <c r="B10">
        <v>327</v>
      </c>
      <c r="C10">
        <v>46</v>
      </c>
      <c r="D10">
        <v>0</v>
      </c>
      <c r="E10">
        <f>0</f>
        <v>0</v>
      </c>
      <c r="F10">
        <f>0</f>
        <v>0</v>
      </c>
      <c r="G10">
        <f>0</f>
        <v>0</v>
      </c>
      <c r="H10">
        <f>0</f>
        <v>0</v>
      </c>
      <c r="I10">
        <f>0</f>
        <v>0</v>
      </c>
      <c r="J10">
        <f>0</f>
        <v>0</v>
      </c>
      <c r="K10" s="1">
        <f t="shared" si="0"/>
        <v>373</v>
      </c>
    </row>
    <row r="11" spans="1:12" x14ac:dyDescent="0.5">
      <c r="A11" t="s">
        <v>40</v>
      </c>
      <c r="B11">
        <v>401</v>
      </c>
      <c r="C11">
        <v>0</v>
      </c>
      <c r="D11">
        <v>0</v>
      </c>
      <c r="E11">
        <f>0</f>
        <v>0</v>
      </c>
      <c r="F11">
        <f>0</f>
        <v>0</v>
      </c>
      <c r="G11">
        <f>0</f>
        <v>0</v>
      </c>
      <c r="H11">
        <f>0</f>
        <v>0</v>
      </c>
      <c r="I11">
        <f>0</f>
        <v>0</v>
      </c>
      <c r="J11">
        <f>0</f>
        <v>0</v>
      </c>
      <c r="K11" s="1">
        <f t="shared" si="0"/>
        <v>401</v>
      </c>
    </row>
    <row r="12" spans="1:12" x14ac:dyDescent="0.5">
      <c r="A12" t="s">
        <v>41</v>
      </c>
      <c r="B12">
        <v>119</v>
      </c>
      <c r="C12">
        <v>34</v>
      </c>
      <c r="D12">
        <v>0</v>
      </c>
      <c r="E12">
        <f>0</f>
        <v>0</v>
      </c>
      <c r="F12">
        <f>0</f>
        <v>0</v>
      </c>
      <c r="G12">
        <f>0</f>
        <v>0</v>
      </c>
      <c r="H12">
        <f>0</f>
        <v>0</v>
      </c>
      <c r="I12">
        <f>0</f>
        <v>0</v>
      </c>
      <c r="J12">
        <f>0</f>
        <v>0</v>
      </c>
      <c r="K12" s="1">
        <f t="shared" si="0"/>
        <v>153</v>
      </c>
    </row>
    <row r="13" spans="1:12" x14ac:dyDescent="0.5">
      <c r="A13" t="s">
        <v>42</v>
      </c>
      <c r="B13">
        <v>0</v>
      </c>
      <c r="C13">
        <v>0</v>
      </c>
      <c r="D13">
        <v>0</v>
      </c>
      <c r="E13">
        <f>0</f>
        <v>0</v>
      </c>
      <c r="F13">
        <f>0</f>
        <v>0</v>
      </c>
      <c r="G13">
        <f>0</f>
        <v>0</v>
      </c>
      <c r="H13">
        <f>0</f>
        <v>0</v>
      </c>
      <c r="I13">
        <f>0</f>
        <v>0</v>
      </c>
      <c r="J13">
        <f>0</f>
        <v>0</v>
      </c>
      <c r="K13" s="1">
        <f t="shared" si="0"/>
        <v>0</v>
      </c>
    </row>
    <row r="14" spans="1:12" x14ac:dyDescent="0.5">
      <c r="A14" t="s">
        <v>43</v>
      </c>
      <c r="B14">
        <v>0</v>
      </c>
      <c r="C14">
        <v>0</v>
      </c>
      <c r="D14">
        <v>0</v>
      </c>
      <c r="E14">
        <f>0</f>
        <v>0</v>
      </c>
      <c r="F14">
        <f>0</f>
        <v>0</v>
      </c>
      <c r="G14">
        <f>0</f>
        <v>0</v>
      </c>
      <c r="H14">
        <f>0</f>
        <v>0</v>
      </c>
      <c r="I14">
        <f>0</f>
        <v>0</v>
      </c>
      <c r="J14">
        <f>0</f>
        <v>0</v>
      </c>
      <c r="K14" s="1">
        <f t="shared" si="0"/>
        <v>0</v>
      </c>
    </row>
    <row r="15" spans="1:12" x14ac:dyDescent="0.5">
      <c r="A15" t="s">
        <v>44</v>
      </c>
      <c r="B15">
        <v>0</v>
      </c>
      <c r="C15">
        <v>0</v>
      </c>
      <c r="D15">
        <v>0</v>
      </c>
      <c r="E15">
        <f>0</f>
        <v>0</v>
      </c>
      <c r="F15">
        <f>0</f>
        <v>0</v>
      </c>
      <c r="G15">
        <f>0</f>
        <v>0</v>
      </c>
      <c r="H15">
        <f>0</f>
        <v>0</v>
      </c>
      <c r="I15">
        <f>0</f>
        <v>0</v>
      </c>
      <c r="J15">
        <f>0</f>
        <v>0</v>
      </c>
      <c r="K15" s="1">
        <f t="shared" si="0"/>
        <v>0</v>
      </c>
    </row>
    <row r="16" spans="1:12" x14ac:dyDescent="0.5">
      <c r="A16" t="s">
        <v>45</v>
      </c>
      <c r="B16">
        <v>200</v>
      </c>
      <c r="C16">
        <v>0</v>
      </c>
      <c r="D16">
        <v>0</v>
      </c>
      <c r="E16">
        <f>0</f>
        <v>0</v>
      </c>
      <c r="F16">
        <f>0</f>
        <v>0</v>
      </c>
      <c r="G16">
        <f>0</f>
        <v>0</v>
      </c>
      <c r="H16">
        <f>0</f>
        <v>0</v>
      </c>
      <c r="I16">
        <f>0</f>
        <v>0</v>
      </c>
      <c r="J16">
        <f>0</f>
        <v>0</v>
      </c>
      <c r="K16" s="1">
        <f>SUM(B15:J16)</f>
        <v>200</v>
      </c>
    </row>
    <row r="17" spans="1:12" x14ac:dyDescent="0.5">
      <c r="B17" s="73">
        <f t="shared" ref="B17:J17" si="1">SUM(B5:B16)</f>
        <v>2852</v>
      </c>
      <c r="C17" s="77">
        <f t="shared" si="1"/>
        <v>214</v>
      </c>
      <c r="D17" s="77">
        <f t="shared" si="1"/>
        <v>0</v>
      </c>
      <c r="E17" s="77">
        <f t="shared" si="1"/>
        <v>0</v>
      </c>
      <c r="F17" s="77">
        <f t="shared" si="1"/>
        <v>0</v>
      </c>
      <c r="G17" s="77">
        <f t="shared" si="1"/>
        <v>0</v>
      </c>
      <c r="H17" s="77">
        <f t="shared" si="1"/>
        <v>0</v>
      </c>
      <c r="I17" s="77">
        <f t="shared" si="1"/>
        <v>0</v>
      </c>
      <c r="J17" s="77">
        <f t="shared" si="1"/>
        <v>0</v>
      </c>
      <c r="K17" s="74">
        <f>SUM(B16:J17)</f>
        <v>3266</v>
      </c>
    </row>
    <row r="20" spans="1:12" x14ac:dyDescent="0.5">
      <c r="A20" s="1" t="s">
        <v>366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5">
      <c r="A21" s="1" t="s">
        <v>370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5">
      <c r="A23" s="1" t="s">
        <v>2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18</v>
      </c>
      <c r="K23" s="1" t="s">
        <v>51</v>
      </c>
      <c r="L23" s="1"/>
    </row>
    <row r="24" spans="1:12" x14ac:dyDescent="0.5">
      <c r="A24" t="s">
        <v>56</v>
      </c>
      <c r="B24">
        <v>418</v>
      </c>
      <c r="C24">
        <v>0</v>
      </c>
      <c r="D24">
        <v>0</v>
      </c>
      <c r="E24">
        <f>0</f>
        <v>0</v>
      </c>
      <c r="F24">
        <f>0</f>
        <v>0</v>
      </c>
      <c r="G24">
        <f>0</f>
        <v>0</v>
      </c>
      <c r="H24">
        <f>0</f>
        <v>0</v>
      </c>
      <c r="I24">
        <f>0</f>
        <v>0</v>
      </c>
      <c r="J24">
        <f>0</f>
        <v>0</v>
      </c>
      <c r="K24" s="1">
        <f t="shared" ref="K24:K36" si="2">SUM(B24:J24)</f>
        <v>418</v>
      </c>
    </row>
    <row r="25" spans="1:12" x14ac:dyDescent="0.5">
      <c r="A25" t="s">
        <v>57</v>
      </c>
      <c r="B25">
        <v>368</v>
      </c>
      <c r="C25">
        <v>34</v>
      </c>
      <c r="D25">
        <v>0</v>
      </c>
      <c r="E25">
        <f>0</f>
        <v>0</v>
      </c>
      <c r="F25">
        <f>0</f>
        <v>0</v>
      </c>
      <c r="G25">
        <f>0</f>
        <v>0</v>
      </c>
      <c r="H25">
        <f>0</f>
        <v>0</v>
      </c>
      <c r="I25">
        <f>0</f>
        <v>0</v>
      </c>
      <c r="J25">
        <f>0</f>
        <v>0</v>
      </c>
      <c r="K25" s="1">
        <f t="shared" si="2"/>
        <v>402</v>
      </c>
    </row>
    <row r="26" spans="1:12" x14ac:dyDescent="0.5">
      <c r="A26" t="s">
        <v>58</v>
      </c>
      <c r="B26">
        <v>342</v>
      </c>
      <c r="C26">
        <v>0</v>
      </c>
      <c r="D26">
        <v>0</v>
      </c>
      <c r="E26">
        <f>0</f>
        <v>0</v>
      </c>
      <c r="F26">
        <f>0</f>
        <v>0</v>
      </c>
      <c r="G26">
        <f>0</f>
        <v>0</v>
      </c>
      <c r="H26">
        <f>0</f>
        <v>0</v>
      </c>
      <c r="I26">
        <f>0</f>
        <v>0</v>
      </c>
      <c r="J26">
        <f>0</f>
        <v>0</v>
      </c>
      <c r="K26" s="1">
        <f t="shared" si="2"/>
        <v>342</v>
      </c>
    </row>
    <row r="27" spans="1:12" x14ac:dyDescent="0.5">
      <c r="A27" t="s">
        <v>59</v>
      </c>
      <c r="B27">
        <v>384</v>
      </c>
      <c r="C27">
        <v>0</v>
      </c>
      <c r="D27">
        <v>0</v>
      </c>
      <c r="E27">
        <f>0</f>
        <v>0</v>
      </c>
      <c r="F27">
        <f>0</f>
        <v>0</v>
      </c>
      <c r="G27">
        <f>0</f>
        <v>0</v>
      </c>
      <c r="H27">
        <f>0</f>
        <v>0</v>
      </c>
      <c r="I27">
        <f>0</f>
        <v>0</v>
      </c>
      <c r="J27">
        <f>0</f>
        <v>0</v>
      </c>
      <c r="K27" s="1">
        <f t="shared" si="2"/>
        <v>384</v>
      </c>
    </row>
    <row r="28" spans="1:12" x14ac:dyDescent="0.5">
      <c r="A28" t="s">
        <v>60</v>
      </c>
      <c r="B28">
        <v>341</v>
      </c>
      <c r="C28">
        <v>0</v>
      </c>
      <c r="D28">
        <v>0</v>
      </c>
      <c r="E28">
        <f>0</f>
        <v>0</v>
      </c>
      <c r="F28">
        <f>0</f>
        <v>0</v>
      </c>
      <c r="G28">
        <f>0</f>
        <v>0</v>
      </c>
      <c r="H28">
        <f>0</f>
        <v>0</v>
      </c>
      <c r="I28">
        <f>0</f>
        <v>0</v>
      </c>
      <c r="J28">
        <f>0</f>
        <v>0</v>
      </c>
      <c r="K28" s="1">
        <f t="shared" si="2"/>
        <v>341</v>
      </c>
    </row>
    <row r="29" spans="1:12" x14ac:dyDescent="0.5">
      <c r="A29" t="s">
        <v>61</v>
      </c>
      <c r="B29">
        <v>316</v>
      </c>
      <c r="C29">
        <v>0</v>
      </c>
      <c r="D29">
        <v>0</v>
      </c>
      <c r="E29">
        <f>0</f>
        <v>0</v>
      </c>
      <c r="F29">
        <f>0</f>
        <v>0</v>
      </c>
      <c r="G29">
        <f>0</f>
        <v>0</v>
      </c>
      <c r="H29">
        <f>0</f>
        <v>0</v>
      </c>
      <c r="I29">
        <f>0</f>
        <v>0</v>
      </c>
      <c r="J29">
        <f>0</f>
        <v>0</v>
      </c>
      <c r="K29" s="1">
        <f t="shared" si="2"/>
        <v>316</v>
      </c>
    </row>
    <row r="30" spans="1:12" x14ac:dyDescent="0.5">
      <c r="A30" t="s">
        <v>62</v>
      </c>
      <c r="B30">
        <v>391</v>
      </c>
      <c r="C30">
        <v>0</v>
      </c>
      <c r="D30">
        <v>0</v>
      </c>
      <c r="E30">
        <f>0</f>
        <v>0</v>
      </c>
      <c r="F30">
        <f>0</f>
        <v>0</v>
      </c>
      <c r="G30">
        <f>0</f>
        <v>0</v>
      </c>
      <c r="H30">
        <f>0</f>
        <v>0</v>
      </c>
      <c r="I30">
        <f>0</f>
        <v>0</v>
      </c>
      <c r="J30">
        <f>0</f>
        <v>0</v>
      </c>
      <c r="K30" s="1">
        <f t="shared" si="2"/>
        <v>391</v>
      </c>
    </row>
    <row r="31" spans="1:12" x14ac:dyDescent="0.5">
      <c r="A31" t="s">
        <v>63</v>
      </c>
      <c r="B31">
        <v>400</v>
      </c>
      <c r="C31">
        <v>67</v>
      </c>
      <c r="D31">
        <v>0</v>
      </c>
      <c r="E31">
        <f>0</f>
        <v>0</v>
      </c>
      <c r="F31">
        <f>0</f>
        <v>0</v>
      </c>
      <c r="G31">
        <f>0</f>
        <v>0</v>
      </c>
      <c r="H31">
        <f>0</f>
        <v>0</v>
      </c>
      <c r="I31">
        <f>0</f>
        <v>0</v>
      </c>
      <c r="J31">
        <f>0</f>
        <v>0</v>
      </c>
      <c r="K31" s="1">
        <f t="shared" si="2"/>
        <v>467</v>
      </c>
    </row>
    <row r="32" spans="1:12" x14ac:dyDescent="0.5">
      <c r="A32" t="s">
        <v>64</v>
      </c>
      <c r="B32">
        <v>389</v>
      </c>
      <c r="C32">
        <v>0</v>
      </c>
      <c r="D32">
        <v>0</v>
      </c>
      <c r="E32">
        <f>0</f>
        <v>0</v>
      </c>
      <c r="F32">
        <f>0</f>
        <v>0</v>
      </c>
      <c r="G32">
        <f>0</f>
        <v>0</v>
      </c>
      <c r="H32">
        <f>0</f>
        <v>0</v>
      </c>
      <c r="I32">
        <f>0</f>
        <v>0</v>
      </c>
      <c r="J32">
        <f>0</f>
        <v>0</v>
      </c>
      <c r="K32" s="1">
        <f t="shared" si="2"/>
        <v>389</v>
      </c>
    </row>
    <row r="33" spans="1:11" x14ac:dyDescent="0.5">
      <c r="A33" t="s">
        <v>65</v>
      </c>
      <c r="B33">
        <v>459</v>
      </c>
      <c r="C33">
        <v>0</v>
      </c>
      <c r="D33">
        <v>0</v>
      </c>
      <c r="E33">
        <f>0</f>
        <v>0</v>
      </c>
      <c r="F33">
        <f>0</f>
        <v>0</v>
      </c>
      <c r="G33">
        <f>0</f>
        <v>0</v>
      </c>
      <c r="H33">
        <f>0</f>
        <v>0</v>
      </c>
      <c r="I33">
        <f>0</f>
        <v>0</v>
      </c>
      <c r="J33">
        <f>0</f>
        <v>0</v>
      </c>
      <c r="K33" s="1">
        <f t="shared" si="2"/>
        <v>459</v>
      </c>
    </row>
    <row r="34" spans="1:11" x14ac:dyDescent="0.5">
      <c r="A34" t="s">
        <v>66</v>
      </c>
      <c r="B34">
        <v>286</v>
      </c>
      <c r="C34">
        <v>67</v>
      </c>
      <c r="D34">
        <v>0</v>
      </c>
      <c r="E34">
        <f>0</f>
        <v>0</v>
      </c>
      <c r="F34">
        <f>0</f>
        <v>0</v>
      </c>
      <c r="G34">
        <f>0</f>
        <v>0</v>
      </c>
      <c r="H34">
        <f>0</f>
        <v>0</v>
      </c>
      <c r="I34">
        <f>0</f>
        <v>0</v>
      </c>
      <c r="J34">
        <f>0</f>
        <v>0</v>
      </c>
      <c r="K34" s="1">
        <f t="shared" si="2"/>
        <v>353</v>
      </c>
    </row>
    <row r="35" spans="1:11" x14ac:dyDescent="0.5">
      <c r="A35" t="s">
        <v>67</v>
      </c>
      <c r="B35">
        <v>371</v>
      </c>
      <c r="C35">
        <v>0</v>
      </c>
      <c r="D35">
        <v>0</v>
      </c>
      <c r="E35">
        <f>0</f>
        <v>0</v>
      </c>
      <c r="F35">
        <f>0</f>
        <v>0</v>
      </c>
      <c r="G35">
        <f>0</f>
        <v>0</v>
      </c>
      <c r="H35">
        <f>0</f>
        <v>0</v>
      </c>
      <c r="I35">
        <f>0</f>
        <v>0</v>
      </c>
      <c r="J35">
        <f>0</f>
        <v>0</v>
      </c>
      <c r="K35" s="1">
        <f t="shared" si="2"/>
        <v>371</v>
      </c>
    </row>
    <row r="36" spans="1:11" x14ac:dyDescent="0.5">
      <c r="B36" s="73">
        <f t="shared" ref="B36:J36" si="3">SUM(B24:B35)</f>
        <v>4465</v>
      </c>
      <c r="C36" s="77">
        <f t="shared" si="3"/>
        <v>168</v>
      </c>
      <c r="D36" s="77">
        <f t="shared" si="3"/>
        <v>0</v>
      </c>
      <c r="E36" s="77">
        <f t="shared" si="3"/>
        <v>0</v>
      </c>
      <c r="F36" s="77">
        <f t="shared" si="3"/>
        <v>0</v>
      </c>
      <c r="G36" s="77">
        <f t="shared" si="3"/>
        <v>0</v>
      </c>
      <c r="H36" s="77">
        <f t="shared" si="3"/>
        <v>0</v>
      </c>
      <c r="I36" s="77">
        <f t="shared" si="3"/>
        <v>0</v>
      </c>
      <c r="J36" s="77">
        <f t="shared" si="3"/>
        <v>0</v>
      </c>
      <c r="K36" s="74">
        <f t="shared" si="2"/>
        <v>4633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22"/>
  <sheetViews>
    <sheetView zoomScale="55" workbookViewId="0">
      <selection activeCell="M122" sqref="M122"/>
    </sheetView>
  </sheetViews>
  <sheetFormatPr defaultRowHeight="28.2" x14ac:dyDescent="0.5"/>
  <cols>
    <col min="1" max="1" width="18.703125" bestFit="1" customWidth="1"/>
    <col min="2" max="2" width="7" bestFit="1" customWidth="1"/>
    <col min="3" max="3" width="1.17578125" bestFit="1" customWidth="1"/>
    <col min="4" max="4" width="29.3515625" bestFit="1" customWidth="1"/>
    <col min="5" max="5" width="7" bestFit="1" customWidth="1"/>
    <col min="6" max="6" width="8.17578125" bestFit="1" customWidth="1"/>
    <col min="7" max="7" width="7" bestFit="1" customWidth="1"/>
    <col min="8" max="8" width="1.17578125" bestFit="1" customWidth="1"/>
    <col min="9" max="9" width="24.703125" bestFit="1" customWidth="1"/>
    <col min="10" max="10" width="7" bestFit="1" customWidth="1"/>
    <col min="11" max="11" width="8.17578125" bestFit="1" customWidth="1"/>
  </cols>
  <sheetData>
    <row r="1" spans="1:26" x14ac:dyDescent="0.5">
      <c r="A1" s="1" t="s">
        <v>371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5">
      <c r="A3" s="24" t="s">
        <v>372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5">
      <c r="A4" s="2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5">
      <c r="A5" s="22" t="s">
        <v>373</v>
      </c>
      <c r="B5" s="1"/>
      <c r="C5" s="1"/>
      <c r="D5" s="1" t="s">
        <v>374</v>
      </c>
      <c r="E5" s="1" t="s">
        <v>86</v>
      </c>
      <c r="F5" s="1" t="s">
        <v>88</v>
      </c>
      <c r="G5" s="1" t="s">
        <v>51</v>
      </c>
      <c r="H5" s="1"/>
      <c r="I5" s="1" t="s">
        <v>375</v>
      </c>
      <c r="J5" s="1" t="s">
        <v>86</v>
      </c>
      <c r="K5" s="1" t="s">
        <v>88</v>
      </c>
      <c r="L5" s="1" t="s">
        <v>51</v>
      </c>
      <c r="M5" s="2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5">
      <c r="A6" s="8" t="s">
        <v>3</v>
      </c>
      <c r="B6">
        <f>DeurvoerSweet!J5</f>
        <v>15750</v>
      </c>
      <c r="D6" t="s">
        <v>376</v>
      </c>
      <c r="E6">
        <f>Sweet!X5</f>
        <v>7667</v>
      </c>
      <c r="F6">
        <f>Bitter!X5</f>
        <v>3633</v>
      </c>
      <c r="G6">
        <f t="shared" ref="G6:G11" si="0">E6+F6</f>
        <v>11300</v>
      </c>
      <c r="I6" t="s">
        <v>28</v>
      </c>
      <c r="J6">
        <f>Sweet!AA5</f>
        <v>335</v>
      </c>
      <c r="K6">
        <f>Bitter!AA5</f>
        <v>40</v>
      </c>
      <c r="L6">
        <f>J6+K6</f>
        <v>375</v>
      </c>
      <c r="M6" s="13"/>
    </row>
    <row r="7" spans="1:26" x14ac:dyDescent="0.5">
      <c r="A7" s="8" t="s">
        <v>184</v>
      </c>
      <c r="B7">
        <f>DeurvoerSweet!K5</f>
        <v>0</v>
      </c>
      <c r="D7" t="s">
        <v>377</v>
      </c>
      <c r="E7">
        <f>Sweet!W5</f>
        <v>0</v>
      </c>
      <c r="F7">
        <f>Bitter!W5</f>
        <v>0</v>
      </c>
      <c r="G7">
        <f t="shared" si="0"/>
        <v>0</v>
      </c>
      <c r="I7" t="s">
        <v>9</v>
      </c>
      <c r="J7">
        <f>Sweet!H5</f>
        <v>94</v>
      </c>
      <c r="K7">
        <f>Bitter!H5</f>
        <v>311</v>
      </c>
      <c r="L7">
        <f>J7+K7</f>
        <v>405</v>
      </c>
      <c r="M7" s="13"/>
    </row>
    <row r="8" spans="1:26" x14ac:dyDescent="0.5">
      <c r="A8" s="8" t="s">
        <v>186</v>
      </c>
      <c r="B8">
        <f>DeurvoerSweet!L5</f>
        <v>10575</v>
      </c>
      <c r="D8" t="s">
        <v>378</v>
      </c>
      <c r="E8">
        <f>Sweet!G5</f>
        <v>5061</v>
      </c>
      <c r="F8">
        <f>Bitter!G5</f>
        <v>3690</v>
      </c>
      <c r="G8">
        <f t="shared" si="0"/>
        <v>8751</v>
      </c>
      <c r="M8" s="13"/>
    </row>
    <row r="9" spans="1:26" x14ac:dyDescent="0.5">
      <c r="A9" s="8" t="s">
        <v>379</v>
      </c>
      <c r="B9">
        <f>DeurvoerSweet!N5-DeurvoerSweet!M5</f>
        <v>-6</v>
      </c>
      <c r="D9" t="s">
        <v>377</v>
      </c>
      <c r="E9">
        <f>Sweet!F5</f>
        <v>2494</v>
      </c>
      <c r="F9">
        <f>Bitter!F5</f>
        <v>0</v>
      </c>
      <c r="G9">
        <f t="shared" si="0"/>
        <v>2494</v>
      </c>
      <c r="M9" s="13"/>
    </row>
    <row r="10" spans="1:26" x14ac:dyDescent="0.5">
      <c r="A10" s="8" t="s">
        <v>29</v>
      </c>
      <c r="B10">
        <f>B6+B7-B8-B9</f>
        <v>5181</v>
      </c>
      <c r="D10" t="s">
        <v>30</v>
      </c>
      <c r="E10">
        <f>Sweet!AF39+Sweet!AG39</f>
        <v>0</v>
      </c>
      <c r="F10">
        <f>Bitter!AF39+Bitter!AG39</f>
        <v>0</v>
      </c>
      <c r="G10">
        <f t="shared" si="0"/>
        <v>0</v>
      </c>
      <c r="M10" s="13"/>
    </row>
    <row r="11" spans="1:26" x14ac:dyDescent="0.5">
      <c r="A11" s="22"/>
      <c r="B11" s="1"/>
      <c r="C11" s="1"/>
      <c r="D11" s="1" t="s">
        <v>374</v>
      </c>
      <c r="E11" s="73">
        <f>E6+E7-E8-E9-E10</f>
        <v>112</v>
      </c>
      <c r="F11" s="77">
        <f>F6+F7-F8-F9-F10</f>
        <v>-57</v>
      </c>
      <c r="G11" s="74">
        <f t="shared" si="0"/>
        <v>55</v>
      </c>
      <c r="H11" s="1"/>
      <c r="I11" s="1" t="s">
        <v>380</v>
      </c>
      <c r="J11" s="73">
        <f>J6-J7</f>
        <v>241</v>
      </c>
      <c r="K11" s="77">
        <f>K6-K7</f>
        <v>-271</v>
      </c>
      <c r="L11" s="74">
        <f>J11+K11</f>
        <v>-30</v>
      </c>
      <c r="M11" s="2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5">
      <c r="A12" s="23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5">
      <c r="A13" s="24" t="s">
        <v>381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5">
      <c r="A14" s="2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5">
      <c r="A15" s="22" t="s">
        <v>373</v>
      </c>
      <c r="B15" s="1"/>
      <c r="C15" s="1"/>
      <c r="D15" s="1" t="s">
        <v>374</v>
      </c>
      <c r="E15" s="1" t="s">
        <v>86</v>
      </c>
      <c r="F15" s="1" t="s">
        <v>88</v>
      </c>
      <c r="G15" s="1" t="s">
        <v>51</v>
      </c>
      <c r="H15" s="1"/>
      <c r="I15" s="1" t="s">
        <v>375</v>
      </c>
      <c r="J15" s="1" t="s">
        <v>86</v>
      </c>
      <c r="K15" s="1" t="s">
        <v>88</v>
      </c>
      <c r="L15" s="1" t="s">
        <v>51</v>
      </c>
      <c r="M15" s="2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5">
      <c r="A16" s="8" t="s">
        <v>3</v>
      </c>
      <c r="B16">
        <f>DeurvoerSweet!J6</f>
        <v>5181</v>
      </c>
      <c r="D16" t="s">
        <v>376</v>
      </c>
      <c r="E16">
        <f>Sweet!X6</f>
        <v>11231</v>
      </c>
      <c r="F16">
        <f>Bitter!X6</f>
        <v>1273</v>
      </c>
      <c r="G16">
        <f t="shared" ref="G16:G21" si="1">E16+F16</f>
        <v>12504</v>
      </c>
      <c r="I16" t="s">
        <v>28</v>
      </c>
      <c r="J16">
        <f>Sweet!AA6</f>
        <v>3813</v>
      </c>
      <c r="K16">
        <f>Bitter!AA6</f>
        <v>79</v>
      </c>
      <c r="L16">
        <f>J16+K16</f>
        <v>3892</v>
      </c>
      <c r="M16" s="13"/>
    </row>
    <row r="17" spans="1:26" x14ac:dyDescent="0.5">
      <c r="A17" s="8" t="s">
        <v>184</v>
      </c>
      <c r="B17">
        <f>DeurvoerSweet!K6</f>
        <v>22218</v>
      </c>
      <c r="D17" t="s">
        <v>377</v>
      </c>
      <c r="E17">
        <f>Sweet!W6</f>
        <v>0</v>
      </c>
      <c r="F17">
        <f>Bitter!W6</f>
        <v>0</v>
      </c>
      <c r="G17">
        <f t="shared" si="1"/>
        <v>0</v>
      </c>
      <c r="I17" t="s">
        <v>9</v>
      </c>
      <c r="J17">
        <f>Sweet!H10</f>
        <v>27</v>
      </c>
      <c r="K17">
        <f>Bitter!H6</f>
        <v>622</v>
      </c>
      <c r="L17">
        <f>J17+K17</f>
        <v>649</v>
      </c>
      <c r="M17" s="13"/>
    </row>
    <row r="18" spans="1:26" x14ac:dyDescent="0.5">
      <c r="A18" s="8" t="s">
        <v>186</v>
      </c>
      <c r="B18">
        <f>DeurvoerSweet!L6</f>
        <v>9702</v>
      </c>
      <c r="D18" t="s">
        <v>378</v>
      </c>
      <c r="E18">
        <f>Sweet!G6</f>
        <v>2768</v>
      </c>
      <c r="F18">
        <f>Bitter!G6</f>
        <v>1262</v>
      </c>
      <c r="G18">
        <f t="shared" si="1"/>
        <v>4030</v>
      </c>
      <c r="M18" s="13"/>
    </row>
    <row r="19" spans="1:26" x14ac:dyDescent="0.5">
      <c r="A19" s="8" t="s">
        <v>379</v>
      </c>
      <c r="B19">
        <f>DeurvoerSweet!N6-DeurvoerSweet!M6</f>
        <v>0</v>
      </c>
      <c r="D19" t="s">
        <v>377</v>
      </c>
      <c r="E19">
        <f>Sweet!F6</f>
        <v>8411</v>
      </c>
      <c r="F19">
        <f>Bitter!F6</f>
        <v>0</v>
      </c>
      <c r="G19">
        <f t="shared" si="1"/>
        <v>8411</v>
      </c>
      <c r="M19" s="13"/>
    </row>
    <row r="20" spans="1:26" x14ac:dyDescent="0.5">
      <c r="A20" s="8" t="s">
        <v>29</v>
      </c>
      <c r="B20">
        <f>B16+B17-B18-B19</f>
        <v>17697</v>
      </c>
      <c r="D20" t="s">
        <v>30</v>
      </c>
      <c r="E20">
        <f>Sweet!AF40+Sweet!AG40</f>
        <v>0</v>
      </c>
      <c r="F20">
        <f>Bitter!AF40+Bitter!AG40</f>
        <v>0</v>
      </c>
      <c r="G20">
        <f t="shared" si="1"/>
        <v>0</v>
      </c>
      <c r="M20" s="13"/>
    </row>
    <row r="21" spans="1:26" x14ac:dyDescent="0.5">
      <c r="A21" s="22"/>
      <c r="B21" s="1"/>
      <c r="C21" s="1"/>
      <c r="D21" s="1" t="s">
        <v>374</v>
      </c>
      <c r="E21" s="73">
        <f>E16+E17-E18-E19-E20</f>
        <v>52</v>
      </c>
      <c r="F21" s="77">
        <f>F16+F17-F18-F19-F20</f>
        <v>11</v>
      </c>
      <c r="G21" s="74">
        <f t="shared" si="1"/>
        <v>63</v>
      </c>
      <c r="H21" s="1"/>
      <c r="I21" s="1" t="s">
        <v>380</v>
      </c>
      <c r="J21" s="73">
        <f>J16-J17</f>
        <v>3786</v>
      </c>
      <c r="K21" s="77">
        <f>K16-K17</f>
        <v>-543</v>
      </c>
      <c r="L21" s="74">
        <f>J21+K21</f>
        <v>3243</v>
      </c>
      <c r="M21" s="2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5">
      <c r="A22" s="23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5">
      <c r="A23" s="24" t="s">
        <v>382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5">
      <c r="A24" s="2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5">
      <c r="A25" s="22" t="s">
        <v>373</v>
      </c>
      <c r="B25" s="1"/>
      <c r="C25" s="1"/>
      <c r="D25" s="1" t="s">
        <v>374</v>
      </c>
      <c r="E25" s="1" t="s">
        <v>86</v>
      </c>
      <c r="F25" s="1" t="s">
        <v>88</v>
      </c>
      <c r="G25" s="1" t="s">
        <v>51</v>
      </c>
      <c r="H25" s="1"/>
      <c r="I25" s="1" t="s">
        <v>375</v>
      </c>
      <c r="J25" s="1" t="s">
        <v>86</v>
      </c>
      <c r="K25" s="1" t="s">
        <v>88</v>
      </c>
      <c r="L25" s="1" t="s">
        <v>51</v>
      </c>
      <c r="M25" s="2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5">
      <c r="A26" s="8" t="s">
        <v>3</v>
      </c>
      <c r="B26">
        <f>DeurvoerSweet!J7</f>
        <v>17697</v>
      </c>
      <c r="D26" t="s">
        <v>376</v>
      </c>
      <c r="E26">
        <f>Sweet!X7</f>
        <v>27903</v>
      </c>
      <c r="F26">
        <f>Bitter!X7</f>
        <v>884</v>
      </c>
      <c r="G26">
        <f t="shared" ref="G26:G31" si="2">E26+F26</f>
        <v>28787</v>
      </c>
      <c r="I26" t="s">
        <v>28</v>
      </c>
      <c r="J26">
        <f>Sweet!AA7</f>
        <v>716</v>
      </c>
      <c r="K26">
        <f>Bitter!AA7</f>
        <v>1802</v>
      </c>
      <c r="L26">
        <f>J26+K26</f>
        <v>2518</v>
      </c>
      <c r="M26" s="13"/>
    </row>
    <row r="27" spans="1:26" x14ac:dyDescent="0.5">
      <c r="A27" s="8" t="s">
        <v>184</v>
      </c>
      <c r="B27">
        <f>DeurvoerSweet!K7</f>
        <v>0</v>
      </c>
      <c r="D27" t="s">
        <v>377</v>
      </c>
      <c r="E27">
        <f>Sweet!W7</f>
        <v>0</v>
      </c>
      <c r="F27">
        <f>Bitter!W7</f>
        <v>0</v>
      </c>
      <c r="G27">
        <f t="shared" si="2"/>
        <v>0</v>
      </c>
      <c r="I27" t="s">
        <v>9</v>
      </c>
      <c r="J27">
        <f>Sweet!H7</f>
        <v>1988</v>
      </c>
      <c r="K27">
        <f>Bitter!H7</f>
        <v>0</v>
      </c>
      <c r="L27">
        <f>J27+K27</f>
        <v>1988</v>
      </c>
      <c r="M27" s="13"/>
    </row>
    <row r="28" spans="1:26" x14ac:dyDescent="0.5">
      <c r="A28" s="8" t="s">
        <v>186</v>
      </c>
      <c r="B28">
        <f>DeurvoerSweet!L7</f>
        <v>7603</v>
      </c>
      <c r="D28" t="s">
        <v>378</v>
      </c>
      <c r="E28">
        <f>Sweet!G7</f>
        <v>4151</v>
      </c>
      <c r="F28">
        <f>Bitter!G7</f>
        <v>808</v>
      </c>
      <c r="G28">
        <f t="shared" si="2"/>
        <v>4959</v>
      </c>
      <c r="M28" s="13"/>
    </row>
    <row r="29" spans="1:26" x14ac:dyDescent="0.5">
      <c r="A29" s="8" t="s">
        <v>379</v>
      </c>
      <c r="B29">
        <f>DeurvoerSweet!N7-DeurvoerSweet!M7</f>
        <v>57</v>
      </c>
      <c r="D29" t="s">
        <v>377</v>
      </c>
      <c r="E29">
        <f>Sweet!F7</f>
        <v>23559</v>
      </c>
      <c r="F29">
        <f>Bitter!F7</f>
        <v>0</v>
      </c>
      <c r="G29">
        <f t="shared" si="2"/>
        <v>23559</v>
      </c>
      <c r="M29" s="13"/>
    </row>
    <row r="30" spans="1:26" x14ac:dyDescent="0.5">
      <c r="A30" s="8" t="s">
        <v>29</v>
      </c>
      <c r="B30">
        <f>B26+B27-B28-B29</f>
        <v>10037</v>
      </c>
      <c r="D30" t="s">
        <v>30</v>
      </c>
      <c r="E30">
        <f>Sweet!AF41+Sweet!AG41</f>
        <v>0</v>
      </c>
      <c r="F30">
        <f>Bitter!AF41+Bitter!AG41</f>
        <v>0</v>
      </c>
      <c r="G30">
        <f t="shared" si="2"/>
        <v>0</v>
      </c>
      <c r="M30" s="13"/>
    </row>
    <row r="31" spans="1:26" x14ac:dyDescent="0.5">
      <c r="A31" s="22"/>
      <c r="B31" s="1"/>
      <c r="C31" s="1"/>
      <c r="D31" s="1" t="s">
        <v>374</v>
      </c>
      <c r="E31" s="73">
        <f>E26+E27-E28-E29-E30</f>
        <v>193</v>
      </c>
      <c r="F31" s="77">
        <f>F26+F27-F28-F29-F30</f>
        <v>76</v>
      </c>
      <c r="G31" s="74">
        <f t="shared" si="2"/>
        <v>269</v>
      </c>
      <c r="H31" s="1"/>
      <c r="I31" s="1" t="s">
        <v>380</v>
      </c>
      <c r="J31" s="73">
        <f>J26-J27</f>
        <v>-1272</v>
      </c>
      <c r="K31" s="77">
        <f>K26-K27</f>
        <v>1802</v>
      </c>
      <c r="L31" s="74">
        <f>J31+K31</f>
        <v>530</v>
      </c>
      <c r="M31" s="2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5">
      <c r="A32" s="23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2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5">
      <c r="A33" s="24" t="s">
        <v>383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6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5">
      <c r="A34" s="2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5">
      <c r="A35" s="22" t="s">
        <v>373</v>
      </c>
      <c r="B35" s="1"/>
      <c r="C35" s="1"/>
      <c r="D35" s="1" t="s">
        <v>374</v>
      </c>
      <c r="E35" s="1" t="s">
        <v>86</v>
      </c>
      <c r="F35" s="1" t="s">
        <v>88</v>
      </c>
      <c r="G35" s="1" t="s">
        <v>51</v>
      </c>
      <c r="H35" s="1"/>
      <c r="I35" s="1" t="s">
        <v>375</v>
      </c>
      <c r="J35" s="1" t="s">
        <v>86</v>
      </c>
      <c r="K35" s="1" t="s">
        <v>88</v>
      </c>
      <c r="L35" s="1" t="s">
        <v>51</v>
      </c>
      <c r="M35" s="2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5">
      <c r="A36" s="8" t="s">
        <v>3</v>
      </c>
      <c r="B36">
        <f>DeurvoerSweet!J8</f>
        <v>10037</v>
      </c>
      <c r="D36" t="s">
        <v>376</v>
      </c>
      <c r="E36">
        <f>Sweet!X8</f>
        <v>8170</v>
      </c>
      <c r="F36">
        <f>Bitter!X8</f>
        <v>3935</v>
      </c>
      <c r="G36">
        <f t="shared" ref="G36:G41" si="3">E36+F36</f>
        <v>12105</v>
      </c>
      <c r="I36" t="s">
        <v>28</v>
      </c>
      <c r="J36">
        <f>Sweet!AA8</f>
        <v>868</v>
      </c>
      <c r="K36">
        <f>Bitter!AA8</f>
        <v>74</v>
      </c>
      <c r="L36">
        <f>J36+K36</f>
        <v>942</v>
      </c>
      <c r="M36" s="13"/>
    </row>
    <row r="37" spans="1:26" x14ac:dyDescent="0.5">
      <c r="A37" s="8" t="s">
        <v>184</v>
      </c>
      <c r="B37">
        <f>DeurvoerSweet!K8</f>
        <v>1960</v>
      </c>
      <c r="D37" t="s">
        <v>377</v>
      </c>
      <c r="E37">
        <f>Sweet!W8</f>
        <v>0</v>
      </c>
      <c r="F37">
        <f>Bitter!W8</f>
        <v>0</v>
      </c>
      <c r="G37">
        <f t="shared" si="3"/>
        <v>0</v>
      </c>
      <c r="I37" t="s">
        <v>9</v>
      </c>
      <c r="J37">
        <f>Sweet!H8</f>
        <v>318</v>
      </c>
      <c r="K37">
        <f>Bitter!H8</f>
        <v>0</v>
      </c>
      <c r="L37">
        <f>J37+K37</f>
        <v>318</v>
      </c>
      <c r="M37" s="13"/>
    </row>
    <row r="38" spans="1:26" x14ac:dyDescent="0.5">
      <c r="A38" s="8" t="s">
        <v>186</v>
      </c>
      <c r="B38">
        <f>DeurvoerSweet!L8</f>
        <v>3909</v>
      </c>
      <c r="D38" t="s">
        <v>378</v>
      </c>
      <c r="E38">
        <f>Sweet!G8</f>
        <v>3564</v>
      </c>
      <c r="F38">
        <f>Bitter!G8</f>
        <v>3885</v>
      </c>
      <c r="G38">
        <f t="shared" si="3"/>
        <v>7449</v>
      </c>
      <c r="M38" s="13"/>
    </row>
    <row r="39" spans="1:26" x14ac:dyDescent="0.5">
      <c r="A39" s="8" t="s">
        <v>379</v>
      </c>
      <c r="B39">
        <f>DeurvoerSweet!N8-DeurvoerSweet!M8</f>
        <v>0</v>
      </c>
      <c r="D39" t="s">
        <v>377</v>
      </c>
      <c r="E39">
        <f>Sweet!F8</f>
        <v>4355</v>
      </c>
      <c r="F39">
        <f>Bitter!F8</f>
        <v>0</v>
      </c>
      <c r="G39">
        <f t="shared" si="3"/>
        <v>4355</v>
      </c>
      <c r="M39" s="13"/>
    </row>
    <row r="40" spans="1:26" x14ac:dyDescent="0.5">
      <c r="A40" s="8" t="s">
        <v>29</v>
      </c>
      <c r="B40">
        <f>B36+B37-B38-B39</f>
        <v>8088</v>
      </c>
      <c r="D40" t="s">
        <v>30</v>
      </c>
      <c r="E40">
        <f>Sweet!AF42+Sweet!AG42</f>
        <v>0</v>
      </c>
      <c r="F40">
        <f>Bitter!AF42+Bitter!AG42</f>
        <v>0</v>
      </c>
      <c r="G40">
        <f t="shared" si="3"/>
        <v>0</v>
      </c>
      <c r="M40" s="13"/>
    </row>
    <row r="41" spans="1:26" x14ac:dyDescent="0.5">
      <c r="A41" s="22"/>
      <c r="B41" s="1"/>
      <c r="C41" s="1"/>
      <c r="D41" s="1" t="s">
        <v>374</v>
      </c>
      <c r="E41" s="73">
        <f>E36+E37-E38-E39-E40</f>
        <v>251</v>
      </c>
      <c r="F41" s="77">
        <f>F36+F37-F38-F39-F40</f>
        <v>50</v>
      </c>
      <c r="G41" s="74">
        <f t="shared" si="3"/>
        <v>301</v>
      </c>
      <c r="H41" s="1"/>
      <c r="I41" s="1" t="s">
        <v>380</v>
      </c>
      <c r="J41" s="73">
        <f>J36-J37</f>
        <v>550</v>
      </c>
      <c r="K41" s="77">
        <f>K36-K37</f>
        <v>74</v>
      </c>
      <c r="L41" s="74">
        <f>J41+K41</f>
        <v>624</v>
      </c>
      <c r="M41" s="2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5">
      <c r="A42" s="23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2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5">
      <c r="A43" s="24" t="s">
        <v>384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5">
      <c r="A44" s="2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5">
      <c r="A45" s="22" t="s">
        <v>373</v>
      </c>
      <c r="B45" s="1"/>
      <c r="C45" s="1"/>
      <c r="D45" s="1" t="s">
        <v>374</v>
      </c>
      <c r="E45" s="1" t="s">
        <v>86</v>
      </c>
      <c r="F45" s="1" t="s">
        <v>88</v>
      </c>
      <c r="G45" s="1" t="s">
        <v>51</v>
      </c>
      <c r="H45" s="1"/>
      <c r="I45" s="1" t="s">
        <v>375</v>
      </c>
      <c r="J45" s="1" t="s">
        <v>86</v>
      </c>
      <c r="K45" s="1" t="s">
        <v>88</v>
      </c>
      <c r="L45" s="1" t="s">
        <v>51</v>
      </c>
      <c r="M45" s="2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5">
      <c r="A46" s="8" t="s">
        <v>3</v>
      </c>
      <c r="B46">
        <f>DeurvoerSweet!J9</f>
        <v>8088</v>
      </c>
      <c r="D46" t="s">
        <v>376</v>
      </c>
      <c r="E46">
        <f>Sweet!X9</f>
        <v>5772</v>
      </c>
      <c r="F46">
        <f>Bitter!X9</f>
        <v>1590</v>
      </c>
      <c r="G46">
        <f t="shared" ref="G46:G51" si="4">E46+F46</f>
        <v>7362</v>
      </c>
      <c r="I46" t="s">
        <v>28</v>
      </c>
      <c r="J46">
        <f>Sweet!AA9</f>
        <v>7</v>
      </c>
      <c r="K46">
        <f>Bitter!AA9</f>
        <v>37</v>
      </c>
      <c r="L46">
        <f>J46+K46</f>
        <v>44</v>
      </c>
      <c r="M46" s="13"/>
    </row>
    <row r="47" spans="1:26" x14ac:dyDescent="0.5">
      <c r="A47" s="8" t="s">
        <v>184</v>
      </c>
      <c r="B47">
        <f>DeurvoerSweet!K9</f>
        <v>6453</v>
      </c>
      <c r="D47" t="s">
        <v>377</v>
      </c>
      <c r="E47">
        <f>Sweet!W9</f>
        <v>1025</v>
      </c>
      <c r="F47">
        <f>Bitter!W9</f>
        <v>0</v>
      </c>
      <c r="G47">
        <f t="shared" si="4"/>
        <v>1025</v>
      </c>
      <c r="I47" t="s">
        <v>9</v>
      </c>
      <c r="J47">
        <f>Sweet!H9</f>
        <v>148</v>
      </c>
      <c r="K47">
        <f>Bitter!H9</f>
        <v>66</v>
      </c>
      <c r="L47">
        <f>J47+K47</f>
        <v>214</v>
      </c>
      <c r="M47" s="13"/>
    </row>
    <row r="48" spans="1:26" x14ac:dyDescent="0.5">
      <c r="A48" s="8" t="s">
        <v>186</v>
      </c>
      <c r="B48">
        <f>DeurvoerSweet!L9</f>
        <v>1890</v>
      </c>
      <c r="D48" t="s">
        <v>378</v>
      </c>
      <c r="E48">
        <f>Sweet!G9</f>
        <v>5684</v>
      </c>
      <c r="F48">
        <f>Bitter!G9</f>
        <v>1791</v>
      </c>
      <c r="G48">
        <f t="shared" si="4"/>
        <v>7475</v>
      </c>
      <c r="M48" s="13"/>
    </row>
    <row r="49" spans="1:26" x14ac:dyDescent="0.5">
      <c r="A49" s="8" t="s">
        <v>379</v>
      </c>
      <c r="B49">
        <f>DeurvoerSweet!N9-DeurvoerSweet!M9</f>
        <v>1</v>
      </c>
      <c r="D49" t="s">
        <v>377</v>
      </c>
      <c r="E49">
        <f>Sweet!F9</f>
        <v>1050</v>
      </c>
      <c r="F49">
        <f>Bitter!F9</f>
        <v>0</v>
      </c>
      <c r="G49">
        <f t="shared" si="4"/>
        <v>1050</v>
      </c>
      <c r="M49" s="13"/>
    </row>
    <row r="50" spans="1:26" x14ac:dyDescent="0.5">
      <c r="A50" s="8" t="s">
        <v>29</v>
      </c>
      <c r="B50">
        <f>B46+B47-B48-B49</f>
        <v>12650</v>
      </c>
      <c r="D50" t="s">
        <v>30</v>
      </c>
      <c r="E50">
        <f>Sweet!AF43+Sweet!AG43</f>
        <v>0</v>
      </c>
      <c r="F50">
        <f>Bitter!AF43+Bitter!AG43</f>
        <v>0</v>
      </c>
      <c r="G50">
        <f t="shared" si="4"/>
        <v>0</v>
      </c>
      <c r="M50" s="13"/>
    </row>
    <row r="51" spans="1:26" x14ac:dyDescent="0.5">
      <c r="A51" s="22"/>
      <c r="B51" s="1"/>
      <c r="C51" s="1"/>
      <c r="D51" s="1" t="s">
        <v>374</v>
      </c>
      <c r="E51" s="73">
        <f>E46+E47-E48-E49-E50</f>
        <v>63</v>
      </c>
      <c r="F51" s="77">
        <f>F46+F47-F48-F49-F50</f>
        <v>-201</v>
      </c>
      <c r="G51" s="74">
        <f t="shared" si="4"/>
        <v>-138</v>
      </c>
      <c r="H51" s="1"/>
      <c r="I51" s="1" t="s">
        <v>380</v>
      </c>
      <c r="J51" s="73">
        <f>J46-J47</f>
        <v>-141</v>
      </c>
      <c r="K51" s="77">
        <f>K46-K47</f>
        <v>-29</v>
      </c>
      <c r="L51" s="74">
        <f>J51+K51</f>
        <v>-170</v>
      </c>
      <c r="M51" s="2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5">
      <c r="A52" s="23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2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5">
      <c r="A53" s="24" t="s">
        <v>385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6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5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5">
      <c r="A55" s="22" t="s">
        <v>373</v>
      </c>
      <c r="B55" s="1"/>
      <c r="C55" s="1"/>
      <c r="D55" s="1" t="s">
        <v>374</v>
      </c>
      <c r="E55" s="1" t="s">
        <v>86</v>
      </c>
      <c r="F55" s="1" t="s">
        <v>88</v>
      </c>
      <c r="G55" s="1" t="s">
        <v>51</v>
      </c>
      <c r="H55" s="1"/>
      <c r="I55" s="1" t="s">
        <v>375</v>
      </c>
      <c r="J55" s="1" t="s">
        <v>86</v>
      </c>
      <c r="K55" s="1" t="s">
        <v>88</v>
      </c>
      <c r="L55" s="1" t="s">
        <v>51</v>
      </c>
      <c r="M55" s="2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5">
      <c r="A56" s="8" t="s">
        <v>3</v>
      </c>
      <c r="B56">
        <f>DeurvoerSweet!J10</f>
        <v>12650</v>
      </c>
      <c r="D56" t="s">
        <v>376</v>
      </c>
      <c r="E56">
        <f>Sweet!X10</f>
        <v>4638</v>
      </c>
      <c r="F56">
        <f>Bitter!X10</f>
        <v>638</v>
      </c>
      <c r="G56">
        <f t="shared" ref="G56:G61" si="5">E56+F56</f>
        <v>5276</v>
      </c>
      <c r="I56" t="s">
        <v>28</v>
      </c>
      <c r="J56">
        <f>Sweet!AA10</f>
        <v>828</v>
      </c>
      <c r="K56">
        <f>Bitter!AA10</f>
        <v>68</v>
      </c>
      <c r="L56">
        <f>J56+K56</f>
        <v>896</v>
      </c>
      <c r="M56" s="13"/>
    </row>
    <row r="57" spans="1:26" x14ac:dyDescent="0.5">
      <c r="A57" s="8" t="s">
        <v>184</v>
      </c>
      <c r="B57">
        <f>DeurvoerSweet!K10</f>
        <v>0</v>
      </c>
      <c r="D57" t="s">
        <v>377</v>
      </c>
      <c r="E57">
        <f>Sweet!W10</f>
        <v>4531</v>
      </c>
      <c r="F57">
        <f>Bitter!W10</f>
        <v>0</v>
      </c>
      <c r="G57">
        <f t="shared" si="5"/>
        <v>4531</v>
      </c>
      <c r="I57" t="s">
        <v>9</v>
      </c>
      <c r="K57">
        <f>Bitter!H10</f>
        <v>21</v>
      </c>
      <c r="L57">
        <f>J57+K57</f>
        <v>21</v>
      </c>
      <c r="M57" s="13"/>
    </row>
    <row r="58" spans="1:26" x14ac:dyDescent="0.5">
      <c r="A58" s="8" t="s">
        <v>186</v>
      </c>
      <c r="B58">
        <f>DeurvoerSweet!L10</f>
        <v>7087</v>
      </c>
      <c r="D58" t="s">
        <v>378</v>
      </c>
      <c r="E58">
        <f>Sweet!G10</f>
        <v>4588</v>
      </c>
      <c r="F58">
        <f>Bitter!G10</f>
        <v>624</v>
      </c>
      <c r="G58">
        <f t="shared" si="5"/>
        <v>5212</v>
      </c>
      <c r="M58" s="13"/>
    </row>
    <row r="59" spans="1:26" x14ac:dyDescent="0.5">
      <c r="A59" s="8" t="s">
        <v>379</v>
      </c>
      <c r="B59">
        <f>DeurvoerSweet!N10-DeurvoerSweet!M10</f>
        <v>-14</v>
      </c>
      <c r="D59" t="s">
        <v>377</v>
      </c>
      <c r="E59">
        <f>Sweet!F10</f>
        <v>4524</v>
      </c>
      <c r="F59">
        <f>Bitter!F10</f>
        <v>0</v>
      </c>
      <c r="G59">
        <f t="shared" si="5"/>
        <v>4524</v>
      </c>
      <c r="M59" s="13"/>
    </row>
    <row r="60" spans="1:26" x14ac:dyDescent="0.5">
      <c r="A60" s="8" t="s">
        <v>29</v>
      </c>
      <c r="B60">
        <f>B56+B57-B58-B59</f>
        <v>5577</v>
      </c>
      <c r="D60" t="s">
        <v>30</v>
      </c>
      <c r="E60">
        <f>Sweet!AF45+Sweet!AG45</f>
        <v>0</v>
      </c>
      <c r="F60">
        <f>Bitter!AF45+Bitter!AG45</f>
        <v>0</v>
      </c>
      <c r="G60">
        <f t="shared" si="5"/>
        <v>0</v>
      </c>
      <c r="M60" s="13"/>
    </row>
    <row r="61" spans="1:26" x14ac:dyDescent="0.5">
      <c r="A61" s="22"/>
      <c r="B61" s="1"/>
      <c r="C61" s="1"/>
      <c r="D61" s="1" t="s">
        <v>374</v>
      </c>
      <c r="E61" s="73">
        <f>E66+E67-E68-E69-E70</f>
        <v>-107</v>
      </c>
      <c r="F61" s="77">
        <f>F66+F67-F68-F69-F70</f>
        <v>49</v>
      </c>
      <c r="G61" s="74">
        <f t="shared" si="5"/>
        <v>-58</v>
      </c>
      <c r="H61" s="1"/>
      <c r="I61" s="1" t="s">
        <v>380</v>
      </c>
      <c r="J61" s="73">
        <f>J56-J57</f>
        <v>828</v>
      </c>
      <c r="K61" s="77">
        <f>K56-K57</f>
        <v>47</v>
      </c>
      <c r="L61" s="74">
        <f>J61+K61</f>
        <v>875</v>
      </c>
      <c r="M61" s="2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5">
      <c r="A62" s="23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2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5">
      <c r="A63" s="24" t="s">
        <v>386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6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5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5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5">
      <c r="A65" s="22" t="s">
        <v>373</v>
      </c>
      <c r="B65" s="1"/>
      <c r="C65" s="1"/>
      <c r="D65" s="1" t="s">
        <v>374</v>
      </c>
      <c r="E65" s="1" t="s">
        <v>86</v>
      </c>
      <c r="F65" s="1" t="s">
        <v>88</v>
      </c>
      <c r="G65" s="1" t="s">
        <v>51</v>
      </c>
      <c r="H65" s="1"/>
      <c r="I65" s="1" t="s">
        <v>375</v>
      </c>
      <c r="J65" s="1" t="s">
        <v>86</v>
      </c>
      <c r="K65" s="1" t="s">
        <v>88</v>
      </c>
      <c r="L65" s="1" t="s">
        <v>51</v>
      </c>
      <c r="M65" s="25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5">
      <c r="A66" s="8" t="s">
        <v>3</v>
      </c>
      <c r="B66">
        <f>DeurvoerSweet!J11</f>
        <v>5577</v>
      </c>
      <c r="D66" t="s">
        <v>376</v>
      </c>
      <c r="E66">
        <f>Sweet!X11</f>
        <v>16048</v>
      </c>
      <c r="F66">
        <f>Bitter!X11</f>
        <v>1593</v>
      </c>
      <c r="G66">
        <f t="shared" ref="G66:G71" si="6">E66+F66</f>
        <v>17641</v>
      </c>
      <c r="I66" t="s">
        <v>28</v>
      </c>
      <c r="J66">
        <f>Sweet!AA11</f>
        <v>243</v>
      </c>
      <c r="K66">
        <f>Bitter!AA11</f>
        <v>26</v>
      </c>
      <c r="L66">
        <f>J66+K66</f>
        <v>269</v>
      </c>
      <c r="M66" s="13"/>
    </row>
    <row r="67" spans="1:26" x14ac:dyDescent="0.5">
      <c r="A67" s="8" t="s">
        <v>184</v>
      </c>
      <c r="B67">
        <f>DeurvoerSweet!K11</f>
        <v>19998</v>
      </c>
      <c r="D67" t="s">
        <v>377</v>
      </c>
      <c r="E67">
        <f>Sweet!W11</f>
        <v>0</v>
      </c>
      <c r="F67">
        <f>Bitter!W11</f>
        <v>0</v>
      </c>
      <c r="G67">
        <f t="shared" si="6"/>
        <v>0</v>
      </c>
      <c r="I67" t="s">
        <v>9</v>
      </c>
      <c r="J67">
        <f>Sweet!H11</f>
        <v>264</v>
      </c>
      <c r="K67">
        <f>Bitter!H11</f>
        <v>130</v>
      </c>
      <c r="L67">
        <f>J67+K67</f>
        <v>394</v>
      </c>
      <c r="M67" s="13"/>
    </row>
    <row r="68" spans="1:26" x14ac:dyDescent="0.5">
      <c r="A68" s="8" t="s">
        <v>186</v>
      </c>
      <c r="B68">
        <f>DeurvoerSweet!L11</f>
        <v>3062</v>
      </c>
      <c r="D68" t="s">
        <v>378</v>
      </c>
      <c r="E68">
        <f>Sweet!G11</f>
        <v>5368</v>
      </c>
      <c r="F68">
        <f>Bitter!G11</f>
        <v>1544</v>
      </c>
      <c r="G68">
        <f t="shared" si="6"/>
        <v>6912</v>
      </c>
      <c r="M68" s="13"/>
    </row>
    <row r="69" spans="1:26" x14ac:dyDescent="0.5">
      <c r="A69" s="8" t="s">
        <v>379</v>
      </c>
      <c r="B69">
        <f>DeurvoerSweet!N11-DeurvoerSweet!M11</f>
        <v>0</v>
      </c>
      <c r="D69" t="s">
        <v>377</v>
      </c>
      <c r="E69">
        <f>Sweet!F11</f>
        <v>10787</v>
      </c>
      <c r="F69">
        <f>Bitter!F11</f>
        <v>0</v>
      </c>
      <c r="G69">
        <f t="shared" si="6"/>
        <v>10787</v>
      </c>
      <c r="M69" s="13"/>
    </row>
    <row r="70" spans="1:26" x14ac:dyDescent="0.5">
      <c r="A70" s="8" t="s">
        <v>29</v>
      </c>
      <c r="B70">
        <f>B66+B67-B68-B69</f>
        <v>22513</v>
      </c>
      <c r="D70" t="s">
        <v>30</v>
      </c>
      <c r="G70">
        <f t="shared" si="6"/>
        <v>0</v>
      </c>
      <c r="M70" s="13"/>
    </row>
    <row r="71" spans="1:26" x14ac:dyDescent="0.5">
      <c r="A71" s="22"/>
      <c r="B71" s="1"/>
      <c r="C71" s="1"/>
      <c r="D71" s="1" t="s">
        <v>374</v>
      </c>
      <c r="E71" s="73"/>
      <c r="F71" s="77"/>
      <c r="G71" s="74">
        <f t="shared" si="6"/>
        <v>0</v>
      </c>
      <c r="H71" s="1"/>
      <c r="I71" s="1" t="s">
        <v>380</v>
      </c>
      <c r="J71" s="73">
        <f>J66-J67</f>
        <v>-21</v>
      </c>
      <c r="K71" s="77">
        <f>K66-K67</f>
        <v>-104</v>
      </c>
      <c r="L71" s="74">
        <f>J71+K71</f>
        <v>-125</v>
      </c>
      <c r="M71" s="25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5">
      <c r="A72" s="23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5">
      <c r="A73" s="24" t="s">
        <v>387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6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5">
      <c r="A74" s="2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25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5">
      <c r="A75" s="22" t="s">
        <v>373</v>
      </c>
      <c r="B75" s="1"/>
      <c r="C75" s="1"/>
      <c r="D75" s="1" t="s">
        <v>374</v>
      </c>
      <c r="E75" s="1" t="s">
        <v>86</v>
      </c>
      <c r="F75" s="1" t="s">
        <v>88</v>
      </c>
      <c r="G75" s="1" t="s">
        <v>51</v>
      </c>
      <c r="H75" s="1"/>
      <c r="I75" s="1" t="s">
        <v>375</v>
      </c>
      <c r="J75" s="1" t="s">
        <v>86</v>
      </c>
      <c r="K75" s="1" t="s">
        <v>88</v>
      </c>
      <c r="L75" s="1" t="s">
        <v>51</v>
      </c>
      <c r="M75" s="25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5">
      <c r="A76" s="8" t="s">
        <v>3</v>
      </c>
      <c r="B76">
        <f>DeurvoerSweet!J12</f>
        <v>22513</v>
      </c>
      <c r="D76" t="s">
        <v>376</v>
      </c>
      <c r="E76">
        <f>Sweet!X12</f>
        <v>35098</v>
      </c>
      <c r="F76">
        <f>Bitter!X12</f>
        <v>1656</v>
      </c>
      <c r="G76">
        <f t="shared" ref="G76:G81" si="7">E76+F76</f>
        <v>36754</v>
      </c>
      <c r="I76" t="s">
        <v>28</v>
      </c>
      <c r="J76">
        <f>Sweet!AA12</f>
        <v>345</v>
      </c>
      <c r="K76">
        <f>Bitter!AA12</f>
        <v>21</v>
      </c>
      <c r="L76">
        <f>J76+K76</f>
        <v>366</v>
      </c>
      <c r="M76" s="13"/>
    </row>
    <row r="77" spans="1:26" x14ac:dyDescent="0.5">
      <c r="A77" s="8" t="s">
        <v>184</v>
      </c>
      <c r="B77">
        <f>DeurvoerSweet!K12</f>
        <v>1970</v>
      </c>
      <c r="D77" t="s">
        <v>377</v>
      </c>
      <c r="E77">
        <f>Sweet!W12</f>
        <v>0</v>
      </c>
      <c r="F77">
        <f>Bitter!W12</f>
        <v>0</v>
      </c>
      <c r="G77">
        <f t="shared" si="7"/>
        <v>0</v>
      </c>
      <c r="I77" t="s">
        <v>9</v>
      </c>
      <c r="J77">
        <f>Sweet!H12</f>
        <v>283</v>
      </c>
      <c r="K77">
        <f>Bitter!H12</f>
        <v>446</v>
      </c>
      <c r="L77">
        <f>J77+K77</f>
        <v>729</v>
      </c>
      <c r="M77" s="13"/>
    </row>
    <row r="78" spans="1:26" x14ac:dyDescent="0.5">
      <c r="A78" s="8" t="s">
        <v>186</v>
      </c>
      <c r="B78">
        <f>DeurvoerSweet!L12</f>
        <v>7776</v>
      </c>
      <c r="D78" t="s">
        <v>378</v>
      </c>
      <c r="E78">
        <f>Sweet!G12</f>
        <v>4513</v>
      </c>
      <c r="F78">
        <f>Bitter!G12</f>
        <v>1582</v>
      </c>
      <c r="G78">
        <f t="shared" si="7"/>
        <v>6095</v>
      </c>
      <c r="M78" s="13"/>
    </row>
    <row r="79" spans="1:26" x14ac:dyDescent="0.5">
      <c r="A79" s="8" t="s">
        <v>379</v>
      </c>
      <c r="B79">
        <f>DeurvoerSweet!N12-DeurvoerSweet!M12</f>
        <v>0</v>
      </c>
      <c r="D79" t="s">
        <v>377</v>
      </c>
      <c r="E79">
        <f>Sweet!F12</f>
        <v>30263</v>
      </c>
      <c r="F79">
        <f>Bitter!F12</f>
        <v>0</v>
      </c>
      <c r="G79">
        <f t="shared" si="7"/>
        <v>30263</v>
      </c>
      <c r="M79" s="13"/>
    </row>
    <row r="80" spans="1:26" x14ac:dyDescent="0.5">
      <c r="A80" s="8" t="s">
        <v>29</v>
      </c>
      <c r="B80">
        <f>B76+B77-B78-B79</f>
        <v>16707</v>
      </c>
      <c r="D80" t="s">
        <v>30</v>
      </c>
      <c r="E80">
        <f>Sweet!AF46+Sweet!AG46</f>
        <v>0</v>
      </c>
      <c r="F80">
        <f>Bitter!AF46+Bitter!AG46</f>
        <v>0</v>
      </c>
      <c r="G80">
        <f t="shared" si="7"/>
        <v>0</v>
      </c>
      <c r="M80" s="13"/>
    </row>
    <row r="81" spans="1:26" x14ac:dyDescent="0.5">
      <c r="A81" s="22"/>
      <c r="B81" s="1"/>
      <c r="C81" s="1"/>
      <c r="D81" s="1" t="s">
        <v>374</v>
      </c>
      <c r="E81" s="73">
        <f>E76+E77-E78-E79-E80</f>
        <v>322</v>
      </c>
      <c r="F81" s="77">
        <f>F76+F77-F78-F79-F80</f>
        <v>74</v>
      </c>
      <c r="G81" s="74">
        <f t="shared" si="7"/>
        <v>396</v>
      </c>
      <c r="H81" s="1"/>
      <c r="I81" s="1" t="s">
        <v>380</v>
      </c>
      <c r="J81" s="73">
        <f>J76-J77</f>
        <v>62</v>
      </c>
      <c r="K81" s="77">
        <f>K76-K77</f>
        <v>-425</v>
      </c>
      <c r="L81" s="74">
        <f>J81+K81</f>
        <v>-363</v>
      </c>
      <c r="M81" s="2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5">
      <c r="A82" s="23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2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5">
      <c r="A83" s="24" t="s">
        <v>388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6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5">
      <c r="A84" s="2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5">
      <c r="A85" s="22" t="s">
        <v>373</v>
      </c>
      <c r="B85" s="1"/>
      <c r="C85" s="1"/>
      <c r="D85" s="1" t="s">
        <v>374</v>
      </c>
      <c r="E85" s="1" t="s">
        <v>86</v>
      </c>
      <c r="F85" s="1" t="s">
        <v>88</v>
      </c>
      <c r="G85" s="1" t="s">
        <v>51</v>
      </c>
      <c r="H85" s="1"/>
      <c r="I85" s="1" t="s">
        <v>375</v>
      </c>
      <c r="J85" s="1" t="s">
        <v>86</v>
      </c>
      <c r="K85" s="1" t="s">
        <v>88</v>
      </c>
      <c r="L85" s="1" t="s">
        <v>51</v>
      </c>
      <c r="M85" s="2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5">
      <c r="A86" s="8" t="s">
        <v>3</v>
      </c>
      <c r="B86">
        <f>DeurvoerSweet!J13</f>
        <v>16707</v>
      </c>
      <c r="D86" t="s">
        <v>376</v>
      </c>
      <c r="E86">
        <f>Sweet!X13</f>
        <v>6518</v>
      </c>
      <c r="F86">
        <f>Bitter!X13</f>
        <v>7303</v>
      </c>
      <c r="G86">
        <f t="shared" ref="G86:G91" si="8">E86+F86</f>
        <v>13821</v>
      </c>
      <c r="I86" t="s">
        <v>28</v>
      </c>
      <c r="J86">
        <f>Sweet!AA13</f>
        <v>140</v>
      </c>
      <c r="K86">
        <f>Bitter!AA13</f>
        <v>132</v>
      </c>
      <c r="L86">
        <f>J86+K86</f>
        <v>272</v>
      </c>
      <c r="M86" s="13"/>
    </row>
    <row r="87" spans="1:26" x14ac:dyDescent="0.5">
      <c r="A87" s="8" t="s">
        <v>184</v>
      </c>
      <c r="B87">
        <f>DeurvoerSweet!K13</f>
        <v>15353</v>
      </c>
      <c r="D87" t="s">
        <v>377</v>
      </c>
      <c r="E87">
        <f>Sweet!W13</f>
        <v>0</v>
      </c>
      <c r="F87">
        <f>Bitter!W13</f>
        <v>0</v>
      </c>
      <c r="G87">
        <f t="shared" si="8"/>
        <v>0</v>
      </c>
      <c r="I87" t="s">
        <v>9</v>
      </c>
      <c r="J87">
        <f>Sweet!H13</f>
        <v>142</v>
      </c>
      <c r="K87">
        <f>Bitter!H13</f>
        <v>278</v>
      </c>
      <c r="L87">
        <f>J87+K87</f>
        <v>420</v>
      </c>
      <c r="M87" s="13"/>
    </row>
    <row r="88" spans="1:26" x14ac:dyDescent="0.5">
      <c r="A88" s="8" t="s">
        <v>186</v>
      </c>
      <c r="B88">
        <f>DeurvoerSweet!L13</f>
        <v>10485</v>
      </c>
      <c r="D88" t="s">
        <v>378</v>
      </c>
      <c r="E88">
        <f>Sweet!G13</f>
        <v>6456</v>
      </c>
      <c r="F88">
        <f>Bitter!G13</f>
        <v>7260</v>
      </c>
      <c r="G88">
        <f t="shared" si="8"/>
        <v>13716</v>
      </c>
      <c r="M88" s="13"/>
    </row>
    <row r="89" spans="1:26" x14ac:dyDescent="0.5">
      <c r="A89" s="8" t="s">
        <v>379</v>
      </c>
      <c r="B89">
        <f>DeurvoerSweet!N13-DeurvoerSweet!M13</f>
        <v>37</v>
      </c>
      <c r="D89" t="s">
        <v>377</v>
      </c>
      <c r="E89">
        <f>Sweet!F13</f>
        <v>76</v>
      </c>
      <c r="F89">
        <f>Bitter!F13</f>
        <v>0</v>
      </c>
      <c r="G89">
        <f t="shared" si="8"/>
        <v>76</v>
      </c>
      <c r="M89" s="13"/>
    </row>
    <row r="90" spans="1:26" x14ac:dyDescent="0.5">
      <c r="A90" s="8" t="s">
        <v>29</v>
      </c>
      <c r="B90">
        <f>B86+B87-B88-B89</f>
        <v>21538</v>
      </c>
      <c r="D90" t="s">
        <v>30</v>
      </c>
      <c r="E90">
        <f>Sweet!AF47+Sweet!AG47</f>
        <v>0</v>
      </c>
      <c r="F90">
        <f>Bitter!AF47+Bitter!AG47</f>
        <v>0</v>
      </c>
      <c r="G90">
        <f t="shared" si="8"/>
        <v>0</v>
      </c>
      <c r="M90" s="13"/>
    </row>
    <row r="91" spans="1:26" x14ac:dyDescent="0.5">
      <c r="A91" s="22"/>
      <c r="B91" s="1"/>
      <c r="C91" s="1"/>
      <c r="D91" s="1" t="s">
        <v>374</v>
      </c>
      <c r="E91" s="73">
        <f>E86+E87-E88-E89-E90</f>
        <v>-14</v>
      </c>
      <c r="F91" s="77">
        <f>F86+F87-F88-F89-F90</f>
        <v>43</v>
      </c>
      <c r="G91" s="74">
        <f t="shared" si="8"/>
        <v>29</v>
      </c>
      <c r="H91" s="1"/>
      <c r="I91" s="1" t="s">
        <v>380</v>
      </c>
      <c r="J91" s="73">
        <f>J86-J87</f>
        <v>-2</v>
      </c>
      <c r="K91" s="77">
        <f>K86-K87</f>
        <v>-146</v>
      </c>
      <c r="L91" s="74">
        <f>J91+K91</f>
        <v>-148</v>
      </c>
      <c r="M91" s="2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5">
      <c r="A92" s="23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2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5">
      <c r="A93" s="24" t="s">
        <v>389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6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5">
      <c r="A94" s="2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2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5">
      <c r="A95" s="22" t="s">
        <v>373</v>
      </c>
      <c r="B95" s="1"/>
      <c r="C95" s="1"/>
      <c r="D95" s="1" t="s">
        <v>374</v>
      </c>
      <c r="E95" s="1" t="s">
        <v>86</v>
      </c>
      <c r="F95" s="1" t="s">
        <v>88</v>
      </c>
      <c r="G95" s="1" t="s">
        <v>51</v>
      </c>
      <c r="H95" s="1"/>
      <c r="I95" s="1" t="s">
        <v>375</v>
      </c>
      <c r="J95" s="1" t="s">
        <v>86</v>
      </c>
      <c r="K95" s="1" t="s">
        <v>88</v>
      </c>
      <c r="L95" s="1" t="s">
        <v>51</v>
      </c>
      <c r="M95" s="2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5">
      <c r="A96" s="8" t="s">
        <v>3</v>
      </c>
      <c r="B96">
        <f>DeurvoerSweet!J14</f>
        <v>21538</v>
      </c>
      <c r="D96" t="s">
        <v>376</v>
      </c>
      <c r="E96">
        <f>Sweet!X14</f>
        <v>3696</v>
      </c>
      <c r="F96">
        <f>Bitter!X14</f>
        <v>136</v>
      </c>
      <c r="G96">
        <f t="shared" ref="G96:G101" si="9">E96+F96</f>
        <v>3832</v>
      </c>
      <c r="I96" t="s">
        <v>28</v>
      </c>
      <c r="J96">
        <f>Sweet!AA14</f>
        <v>128</v>
      </c>
      <c r="K96">
        <f>Bitter!AA14</f>
        <v>11</v>
      </c>
      <c r="L96">
        <f>J96+K96</f>
        <v>139</v>
      </c>
      <c r="M96" s="13"/>
    </row>
    <row r="97" spans="1:26" x14ac:dyDescent="0.5">
      <c r="A97" s="8" t="s">
        <v>184</v>
      </c>
      <c r="B97">
        <f>DeurvoerSweet!K14</f>
        <v>0</v>
      </c>
      <c r="D97" t="s">
        <v>377</v>
      </c>
      <c r="E97">
        <f>Sweet!W14</f>
        <v>0</v>
      </c>
      <c r="F97">
        <f>Bitter!W14</f>
        <v>0</v>
      </c>
      <c r="G97">
        <f t="shared" si="9"/>
        <v>0</v>
      </c>
      <c r="I97" t="s">
        <v>9</v>
      </c>
      <c r="J97">
        <f>Sweet!H14</f>
        <v>937</v>
      </c>
      <c r="K97">
        <f>Bitter!H14</f>
        <v>126</v>
      </c>
      <c r="L97">
        <f>J97+K97</f>
        <v>1063</v>
      </c>
      <c r="M97" s="13"/>
    </row>
    <row r="98" spans="1:26" x14ac:dyDescent="0.5">
      <c r="A98" s="8" t="s">
        <v>186</v>
      </c>
      <c r="B98">
        <f>DeurvoerSweet!L14</f>
        <v>15958</v>
      </c>
      <c r="D98" t="s">
        <v>378</v>
      </c>
      <c r="E98">
        <f>Sweet!G14</f>
        <v>3443</v>
      </c>
      <c r="F98">
        <f>Bitter!G14</f>
        <v>225</v>
      </c>
      <c r="G98">
        <f t="shared" si="9"/>
        <v>3668</v>
      </c>
      <c r="M98" s="13"/>
    </row>
    <row r="99" spans="1:26" x14ac:dyDescent="0.5">
      <c r="A99" s="8" t="s">
        <v>379</v>
      </c>
      <c r="B99">
        <f>DeurvoerSweet!N14-DeurvoerSweet!M14</f>
        <v>-102</v>
      </c>
      <c r="D99" t="s">
        <v>377</v>
      </c>
      <c r="E99">
        <f>Sweet!F14</f>
        <v>0</v>
      </c>
      <c r="F99">
        <f>Bitter!F14</f>
        <v>0</v>
      </c>
      <c r="G99">
        <f t="shared" si="9"/>
        <v>0</v>
      </c>
      <c r="M99" s="13"/>
    </row>
    <row r="100" spans="1:26" x14ac:dyDescent="0.5">
      <c r="A100" s="8" t="s">
        <v>29</v>
      </c>
      <c r="B100">
        <f>B96+B97-B98-B99</f>
        <v>5682</v>
      </c>
      <c r="D100" t="s">
        <v>30</v>
      </c>
      <c r="E100">
        <f>Sweet!AF48+Sweet!AG48</f>
        <v>0</v>
      </c>
      <c r="F100">
        <f>Bitter!AF48+Bitter!AG48</f>
        <v>0</v>
      </c>
      <c r="G100">
        <f t="shared" si="9"/>
        <v>0</v>
      </c>
      <c r="M100" s="13"/>
    </row>
    <row r="101" spans="1:26" x14ac:dyDescent="0.5">
      <c r="A101" s="22"/>
      <c r="B101" s="1"/>
      <c r="C101" s="1"/>
      <c r="D101" s="1" t="s">
        <v>374</v>
      </c>
      <c r="E101" s="73">
        <f>E96+E97-E98-E99-E100</f>
        <v>253</v>
      </c>
      <c r="F101" s="77">
        <f>F96+F97-F98-F99-F100</f>
        <v>-89</v>
      </c>
      <c r="G101" s="74">
        <f t="shared" si="9"/>
        <v>164</v>
      </c>
      <c r="H101" s="1"/>
      <c r="I101" s="1" t="s">
        <v>380</v>
      </c>
      <c r="J101" s="73">
        <f>J96-J97</f>
        <v>-809</v>
      </c>
      <c r="K101" s="77">
        <f>K96-K97</f>
        <v>-115</v>
      </c>
      <c r="L101" s="74">
        <f>J101+K101</f>
        <v>-924</v>
      </c>
      <c r="M101" s="2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5">
      <c r="A102" s="23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5">
      <c r="A103" s="24" t="s">
        <v>390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6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5">
      <c r="A104" s="2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5">
      <c r="A105" s="22" t="s">
        <v>373</v>
      </c>
      <c r="B105" s="1"/>
      <c r="C105" s="1"/>
      <c r="D105" s="1" t="s">
        <v>374</v>
      </c>
      <c r="E105" s="1" t="s">
        <v>86</v>
      </c>
      <c r="F105" s="1" t="s">
        <v>88</v>
      </c>
      <c r="G105" s="1" t="s">
        <v>51</v>
      </c>
      <c r="H105" s="1"/>
      <c r="I105" s="1" t="s">
        <v>375</v>
      </c>
      <c r="J105" s="1" t="s">
        <v>86</v>
      </c>
      <c r="K105" s="1" t="s">
        <v>88</v>
      </c>
      <c r="L105" s="1" t="s">
        <v>51</v>
      </c>
      <c r="M105" s="2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5">
      <c r="A106" s="8" t="s">
        <v>3</v>
      </c>
      <c r="B106">
        <f>DeurvoerSweet!J15</f>
        <v>5682</v>
      </c>
      <c r="D106" t="s">
        <v>376</v>
      </c>
      <c r="E106">
        <f>Sweet!X15</f>
        <v>5911</v>
      </c>
      <c r="F106">
        <f>Bitter!X15</f>
        <v>236</v>
      </c>
      <c r="G106">
        <f t="shared" ref="G106:G111" si="10">E106+F106</f>
        <v>6147</v>
      </c>
      <c r="I106" t="s">
        <v>28</v>
      </c>
      <c r="J106">
        <f>Sweet!AA15</f>
        <v>2099</v>
      </c>
      <c r="K106">
        <f>Bitter!AA15</f>
        <v>203</v>
      </c>
      <c r="L106">
        <f>J106+K106</f>
        <v>2302</v>
      </c>
      <c r="M106" s="13"/>
    </row>
    <row r="107" spans="1:26" x14ac:dyDescent="0.5">
      <c r="A107" s="8" t="s">
        <v>184</v>
      </c>
      <c r="B107">
        <f>DeurvoerSweet!K15</f>
        <v>0</v>
      </c>
      <c r="D107" t="s">
        <v>377</v>
      </c>
      <c r="E107">
        <f>Sweet!W15</f>
        <v>0</v>
      </c>
      <c r="F107">
        <f>Bitter!W15</f>
        <v>0</v>
      </c>
      <c r="G107">
        <f t="shared" si="10"/>
        <v>0</v>
      </c>
      <c r="I107" t="s">
        <v>9</v>
      </c>
      <c r="J107">
        <f>Sweet!H15</f>
        <v>0</v>
      </c>
      <c r="K107">
        <f>Bitter!H15</f>
        <v>320</v>
      </c>
      <c r="L107">
        <f>J107+K107</f>
        <v>320</v>
      </c>
      <c r="M107" s="13"/>
    </row>
    <row r="108" spans="1:26" x14ac:dyDescent="0.5">
      <c r="A108" s="8" t="s">
        <v>186</v>
      </c>
      <c r="B108">
        <f>DeurvoerSweet!L15</f>
        <v>2775</v>
      </c>
      <c r="D108" t="s">
        <v>378</v>
      </c>
      <c r="E108">
        <f>Sweet!G15</f>
        <v>5649</v>
      </c>
      <c r="F108">
        <f>Bitter!G15</f>
        <v>451</v>
      </c>
      <c r="G108">
        <f t="shared" si="10"/>
        <v>6100</v>
      </c>
      <c r="M108" s="13"/>
    </row>
    <row r="109" spans="1:26" x14ac:dyDescent="0.5">
      <c r="A109" s="8" t="s">
        <v>379</v>
      </c>
      <c r="B109">
        <f>DeurvoerSweet!N15-DeurvoerSweet!M15</f>
        <v>0</v>
      </c>
      <c r="D109" t="s">
        <v>377</v>
      </c>
      <c r="E109">
        <f>Sweet!F15</f>
        <v>28</v>
      </c>
      <c r="F109">
        <f>Bitter!F15</f>
        <v>0</v>
      </c>
      <c r="G109">
        <f t="shared" si="10"/>
        <v>28</v>
      </c>
      <c r="M109" s="13"/>
    </row>
    <row r="110" spans="1:26" x14ac:dyDescent="0.5">
      <c r="A110" s="8" t="s">
        <v>29</v>
      </c>
      <c r="B110">
        <f>B106+B107-B108-B109</f>
        <v>2907</v>
      </c>
      <c r="D110" t="s">
        <v>30</v>
      </c>
      <c r="E110">
        <f>Sweet!AF49+Sweet!AG49</f>
        <v>0</v>
      </c>
      <c r="F110">
        <f>Bitter!AF49+Bitter!AG49</f>
        <v>0</v>
      </c>
      <c r="G110">
        <f t="shared" si="10"/>
        <v>0</v>
      </c>
      <c r="M110" s="13"/>
    </row>
    <row r="111" spans="1:26" x14ac:dyDescent="0.5">
      <c r="A111" s="22"/>
      <c r="B111" s="1"/>
      <c r="C111" s="1"/>
      <c r="D111" s="1" t="s">
        <v>374</v>
      </c>
      <c r="E111" s="73">
        <f>E106+E107-E108-E109-E110</f>
        <v>234</v>
      </c>
      <c r="F111" s="77">
        <f>F106+F107-F108-F109-F110</f>
        <v>-215</v>
      </c>
      <c r="G111" s="74">
        <f t="shared" si="10"/>
        <v>19</v>
      </c>
      <c r="H111" s="1"/>
      <c r="I111" s="1" t="s">
        <v>380</v>
      </c>
      <c r="J111" s="73">
        <f>J106-J107</f>
        <v>2099</v>
      </c>
      <c r="K111" s="77">
        <f>K106-K107</f>
        <v>-117</v>
      </c>
      <c r="L111" s="74">
        <f>J111+K111</f>
        <v>1982</v>
      </c>
      <c r="M111" s="2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5">
      <c r="A112" s="23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2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5">
      <c r="A113" s="24" t="s">
        <v>391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6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5">
      <c r="A114" s="2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5">
      <c r="A115" s="22" t="s">
        <v>373</v>
      </c>
      <c r="B115" s="1"/>
      <c r="C115" s="1"/>
      <c r="D115" s="1" t="s">
        <v>374</v>
      </c>
      <c r="E115" s="1" t="s">
        <v>86</v>
      </c>
      <c r="F115" s="1" t="s">
        <v>88</v>
      </c>
      <c r="G115" s="1" t="s">
        <v>51</v>
      </c>
      <c r="H115" s="1"/>
      <c r="I115" s="1" t="s">
        <v>375</v>
      </c>
      <c r="J115" s="1" t="s">
        <v>86</v>
      </c>
      <c r="K115" s="1" t="s">
        <v>88</v>
      </c>
      <c r="L115" s="1" t="s">
        <v>51</v>
      </c>
      <c r="M115" s="2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5">
      <c r="A116" s="8" t="s">
        <v>3</v>
      </c>
      <c r="B116">
        <f>DeurvoerSweet!J16</f>
        <v>2907</v>
      </c>
      <c r="D116" t="s">
        <v>376</v>
      </c>
      <c r="E116">
        <f>Sweet!X16</f>
        <v>4827</v>
      </c>
      <c r="F116">
        <f>Bitter!X16</f>
        <v>512</v>
      </c>
      <c r="G116">
        <f t="shared" ref="G116:G121" si="11">E116+F116</f>
        <v>5339</v>
      </c>
      <c r="I116" t="s">
        <v>28</v>
      </c>
      <c r="J116">
        <f>Sweet!AA16</f>
        <v>475</v>
      </c>
      <c r="K116">
        <f>Bitter!AA16</f>
        <v>23</v>
      </c>
      <c r="L116">
        <f>J116+K116</f>
        <v>498</v>
      </c>
      <c r="M116" s="13"/>
    </row>
    <row r="117" spans="1:26" x14ac:dyDescent="0.5">
      <c r="A117" s="8" t="s">
        <v>184</v>
      </c>
      <c r="B117">
        <f>DeurvoerSweet!K16</f>
        <v>0</v>
      </c>
      <c r="D117" t="s">
        <v>377</v>
      </c>
      <c r="E117">
        <f>Sweet!W16</f>
        <v>0</v>
      </c>
      <c r="F117">
        <f>Bitter!W16</f>
        <v>0</v>
      </c>
      <c r="G117">
        <f t="shared" si="11"/>
        <v>0</v>
      </c>
      <c r="I117" t="s">
        <v>9</v>
      </c>
      <c r="J117">
        <f>Sweet!H16</f>
        <v>95</v>
      </c>
      <c r="K117">
        <f>Bitter!H16</f>
        <v>87</v>
      </c>
      <c r="L117">
        <f>J117+K117</f>
        <v>182</v>
      </c>
      <c r="M117" s="13"/>
    </row>
    <row r="118" spans="1:26" x14ac:dyDescent="0.5">
      <c r="A118" s="8" t="s">
        <v>186</v>
      </c>
      <c r="B118">
        <f>DeurvoerSweet!L16</f>
        <v>405</v>
      </c>
      <c r="D118" t="s">
        <v>378</v>
      </c>
      <c r="E118">
        <f>Sweet!G16</f>
        <v>4952</v>
      </c>
      <c r="F118">
        <f>Bitter!G16</f>
        <v>457</v>
      </c>
      <c r="G118">
        <f t="shared" si="11"/>
        <v>5409</v>
      </c>
      <c r="M118" s="13"/>
    </row>
    <row r="119" spans="1:26" x14ac:dyDescent="0.5">
      <c r="A119" s="8" t="s">
        <v>379</v>
      </c>
      <c r="B119">
        <f>DeurvoerSweet!N16-DeurvoerSweet!M16</f>
        <v>0</v>
      </c>
      <c r="D119" t="s">
        <v>377</v>
      </c>
      <c r="E119">
        <f>Sweet!F16</f>
        <v>0</v>
      </c>
      <c r="F119">
        <f>Bitter!F16</f>
        <v>0</v>
      </c>
      <c r="G119">
        <f t="shared" si="11"/>
        <v>0</v>
      </c>
      <c r="M119" s="13"/>
    </row>
    <row r="120" spans="1:26" x14ac:dyDescent="0.5">
      <c r="A120" s="8" t="s">
        <v>29</v>
      </c>
      <c r="B120">
        <f>B116+B117-B118-B119</f>
        <v>2502</v>
      </c>
      <c r="D120" t="s">
        <v>30</v>
      </c>
      <c r="E120">
        <f>Sweet!AF50+Sweet!AG50</f>
        <v>0</v>
      </c>
      <c r="F120">
        <f>Bitter!AF50+Bitter!AG50</f>
        <v>0</v>
      </c>
      <c r="G120">
        <f t="shared" si="11"/>
        <v>0</v>
      </c>
      <c r="M120" s="13"/>
    </row>
    <row r="121" spans="1:26" x14ac:dyDescent="0.5">
      <c r="A121" s="8"/>
      <c r="D121" t="s">
        <v>374</v>
      </c>
      <c r="E121" s="75">
        <f>E116+E117-E118-E119-E120</f>
        <v>-125</v>
      </c>
      <c r="F121" s="78">
        <f>F116+F117-F118-F119-F120</f>
        <v>55</v>
      </c>
      <c r="G121" s="76">
        <f t="shared" si="11"/>
        <v>-70</v>
      </c>
      <c r="I121" t="s">
        <v>380</v>
      </c>
      <c r="J121" s="75">
        <f>J116-J117</f>
        <v>380</v>
      </c>
      <c r="K121" s="78">
        <f>K116-K117</f>
        <v>-64</v>
      </c>
      <c r="L121" s="76">
        <f>J121+K121</f>
        <v>316</v>
      </c>
      <c r="M121" s="13"/>
    </row>
    <row r="122" spans="1:26" x14ac:dyDescent="0.5">
      <c r="A122" s="9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K43"/>
  <sheetViews>
    <sheetView zoomScale="55" workbookViewId="0">
      <selection activeCell="B7" sqref="B7"/>
    </sheetView>
  </sheetViews>
  <sheetFormatPr defaultRowHeight="28.2" x14ac:dyDescent="0.5"/>
  <cols>
    <col min="1" max="1" width="42.3515625" bestFit="1" customWidth="1"/>
    <col min="2" max="3" width="8.17578125" bestFit="1" customWidth="1"/>
    <col min="4" max="4" width="7" bestFit="1" customWidth="1"/>
    <col min="5" max="5" width="8.17578125" bestFit="1" customWidth="1"/>
    <col min="6" max="6" width="9.29296875" bestFit="1" customWidth="1"/>
    <col min="7" max="7" width="7" bestFit="1" customWidth="1"/>
    <col min="8" max="9" width="8.17578125" bestFit="1" customWidth="1"/>
    <col min="10" max="10" width="7" bestFit="1" customWidth="1"/>
    <col min="11" max="11" width="8.17578125" bestFit="1" customWidth="1"/>
    <col min="12" max="12" width="9.29296875" bestFit="1" customWidth="1"/>
    <col min="13" max="13" width="7" bestFit="1" customWidth="1"/>
    <col min="14" max="15" width="8.17578125" bestFit="1" customWidth="1"/>
    <col min="16" max="16" width="7" bestFit="1" customWidth="1"/>
    <col min="17" max="18" width="8.17578125" bestFit="1" customWidth="1"/>
    <col min="19" max="19" width="7" bestFit="1" customWidth="1"/>
    <col min="20" max="21" width="8.17578125" bestFit="1" customWidth="1"/>
    <col min="22" max="22" width="7" bestFit="1" customWidth="1"/>
    <col min="23" max="23" width="8.17578125" bestFit="1" customWidth="1"/>
    <col min="24" max="24" width="9.29296875" bestFit="1" customWidth="1"/>
    <col min="25" max="25" width="7" bestFit="1" customWidth="1"/>
    <col min="26" max="27" width="8.17578125" bestFit="1" customWidth="1"/>
    <col min="28" max="28" width="7" bestFit="1" customWidth="1"/>
    <col min="29" max="30" width="8.17578125" bestFit="1" customWidth="1"/>
    <col min="31" max="31" width="7" bestFit="1" customWidth="1"/>
    <col min="32" max="33" width="8.17578125" bestFit="1" customWidth="1"/>
    <col min="34" max="34" width="7" bestFit="1" customWidth="1"/>
    <col min="35" max="36" width="8.17578125" bestFit="1" customWidth="1"/>
  </cols>
  <sheetData>
    <row r="2" spans="1:37" x14ac:dyDescent="0.5">
      <c r="A2" s="1" t="s">
        <v>392</v>
      </c>
    </row>
    <row r="3" spans="1:37" x14ac:dyDescent="0.5">
      <c r="A3" s="80"/>
      <c r="B3" s="163" t="str">
        <f>Langstaat!D5</f>
        <v>Mar/Mrt 2016</v>
      </c>
      <c r="C3" s="164"/>
      <c r="D3" s="165"/>
      <c r="E3" s="163" t="str">
        <f>Langstaat!G5</f>
        <v>Apr 2016</v>
      </c>
      <c r="F3" s="164"/>
      <c r="G3" s="165"/>
      <c r="H3" s="163" t="str">
        <f>Langstaat!J5</f>
        <v>May/Mei 2016</v>
      </c>
      <c r="I3" s="164"/>
      <c r="J3" s="165"/>
      <c r="K3" s="163" t="str">
        <f>Langstaat!M5</f>
        <v>Jun 2016</v>
      </c>
      <c r="L3" s="164"/>
      <c r="M3" s="165"/>
      <c r="N3" s="163" t="str">
        <f>Langstaat!P5</f>
        <v>Jul 2016</v>
      </c>
      <c r="O3" s="164"/>
      <c r="P3" s="165"/>
      <c r="Q3" s="163" t="str">
        <f>Langstaat!S5</f>
        <v>Aug 2016</v>
      </c>
      <c r="R3" s="164"/>
      <c r="S3" s="165"/>
      <c r="T3" s="163" t="str">
        <f>Langstaat!V5</f>
        <v>Sep 2016</v>
      </c>
      <c r="U3" s="164"/>
      <c r="V3" s="165"/>
      <c r="W3" s="163" t="str">
        <f>Langstaat!Y5</f>
        <v>Oct/Okt 2016</v>
      </c>
      <c r="X3" s="164"/>
      <c r="Y3" s="165"/>
      <c r="Z3" s="163" t="str">
        <f>Langstaat!AB5</f>
        <v>Nov 2016</v>
      </c>
      <c r="AA3" s="164"/>
      <c r="AB3" s="165"/>
      <c r="AC3" s="163" t="str">
        <f>Langstaat!AE5</f>
        <v>Dec/Des 2016</v>
      </c>
      <c r="AD3" s="164"/>
      <c r="AE3" s="165"/>
      <c r="AF3" s="163" t="str">
        <f>Langstaat!AH5</f>
        <v>Jan 2017</v>
      </c>
      <c r="AG3" s="164"/>
      <c r="AH3" s="165"/>
      <c r="AI3" s="163" t="str">
        <f>Langstaat!AK5</f>
        <v>Feb 2017</v>
      </c>
      <c r="AJ3" s="164"/>
      <c r="AK3" s="165"/>
    </row>
    <row r="4" spans="1:37" x14ac:dyDescent="0.5">
      <c r="A4" s="81"/>
      <c r="B4" s="82" t="s">
        <v>86</v>
      </c>
      <c r="C4" s="83" t="s">
        <v>88</v>
      </c>
      <c r="D4" s="84" t="s">
        <v>51</v>
      </c>
      <c r="E4" s="82" t="s">
        <v>86</v>
      </c>
      <c r="F4" s="83" t="s">
        <v>88</v>
      </c>
      <c r="G4" s="84" t="s">
        <v>51</v>
      </c>
      <c r="H4" s="82" t="s">
        <v>86</v>
      </c>
      <c r="I4" s="83" t="s">
        <v>88</v>
      </c>
      <c r="J4" s="84" t="s">
        <v>51</v>
      </c>
      <c r="K4" s="82" t="s">
        <v>86</v>
      </c>
      <c r="L4" s="83" t="s">
        <v>88</v>
      </c>
      <c r="M4" s="84" t="s">
        <v>51</v>
      </c>
      <c r="N4" s="82" t="s">
        <v>86</v>
      </c>
      <c r="O4" s="83" t="s">
        <v>88</v>
      </c>
      <c r="P4" s="84" t="s">
        <v>51</v>
      </c>
      <c r="Q4" s="82" t="s">
        <v>86</v>
      </c>
      <c r="R4" s="83" t="s">
        <v>88</v>
      </c>
      <c r="S4" s="84" t="s">
        <v>51</v>
      </c>
      <c r="T4" s="82" t="s">
        <v>86</v>
      </c>
      <c r="U4" s="83" t="s">
        <v>88</v>
      </c>
      <c r="V4" s="84" t="s">
        <v>51</v>
      </c>
      <c r="W4" s="82" t="s">
        <v>86</v>
      </c>
      <c r="X4" s="83" t="s">
        <v>88</v>
      </c>
      <c r="Y4" s="84" t="s">
        <v>51</v>
      </c>
      <c r="Z4" s="82" t="s">
        <v>86</v>
      </c>
      <c r="AA4" s="83" t="s">
        <v>88</v>
      </c>
      <c r="AB4" s="84" t="s">
        <v>51</v>
      </c>
      <c r="AC4" s="82" t="s">
        <v>86</v>
      </c>
      <c r="AD4" s="83" t="s">
        <v>88</v>
      </c>
      <c r="AE4" s="84" t="s">
        <v>51</v>
      </c>
      <c r="AF4" s="82" t="s">
        <v>86</v>
      </c>
      <c r="AG4" s="83" t="s">
        <v>88</v>
      </c>
      <c r="AH4" s="84" t="s">
        <v>51</v>
      </c>
      <c r="AI4" s="82" t="s">
        <v>86</v>
      </c>
      <c r="AJ4" s="83" t="s">
        <v>88</v>
      </c>
      <c r="AK4" s="84" t="s">
        <v>51</v>
      </c>
    </row>
    <row r="5" spans="1:37" x14ac:dyDescent="0.5">
      <c r="A5" s="80"/>
      <c r="B5" s="88"/>
      <c r="C5" s="90"/>
      <c r="D5" s="91"/>
      <c r="E5" s="88"/>
      <c r="F5" s="90"/>
      <c r="G5" s="91"/>
      <c r="H5" s="88"/>
      <c r="I5" s="90"/>
      <c r="J5" s="91"/>
      <c r="K5" s="88"/>
      <c r="L5" s="90"/>
      <c r="M5" s="91"/>
      <c r="N5" s="88"/>
      <c r="O5" s="90"/>
      <c r="P5" s="91"/>
      <c r="Q5" s="88"/>
      <c r="R5" s="90"/>
      <c r="S5" s="91"/>
      <c r="T5" s="88"/>
      <c r="U5" s="90"/>
      <c r="V5" s="91"/>
      <c r="W5" s="88"/>
      <c r="X5" s="90"/>
      <c r="Y5" s="91"/>
      <c r="Z5" s="88"/>
      <c r="AA5" s="90"/>
      <c r="AB5" s="91"/>
      <c r="AC5" s="88"/>
      <c r="AD5" s="90"/>
      <c r="AE5" s="91"/>
      <c r="AF5" s="88"/>
      <c r="AG5" s="90"/>
      <c r="AH5" s="91"/>
      <c r="AI5" s="88"/>
      <c r="AJ5" s="90"/>
      <c r="AK5" s="91"/>
    </row>
    <row r="6" spans="1:37" x14ac:dyDescent="0.5">
      <c r="A6" s="85" t="s">
        <v>393</v>
      </c>
      <c r="B6" s="89"/>
      <c r="C6" s="1"/>
      <c r="D6" s="92"/>
      <c r="E6" s="89"/>
      <c r="F6" s="1"/>
      <c r="G6" s="92"/>
      <c r="H6" s="89"/>
      <c r="I6" s="1"/>
      <c r="J6" s="92"/>
      <c r="K6" s="89"/>
      <c r="L6" s="1"/>
      <c r="M6" s="92"/>
      <c r="N6" s="89"/>
      <c r="O6" s="1"/>
      <c r="P6" s="92"/>
      <c r="Q6" s="89"/>
      <c r="R6" s="1"/>
      <c r="S6" s="92"/>
      <c r="T6" s="89"/>
      <c r="U6" s="1"/>
      <c r="V6" s="92"/>
      <c r="W6" s="89"/>
      <c r="X6" s="1"/>
      <c r="Y6" s="92"/>
      <c r="Z6" s="89"/>
      <c r="AA6" s="1"/>
      <c r="AB6" s="92"/>
      <c r="AC6" s="89"/>
      <c r="AD6" s="1"/>
      <c r="AE6" s="92"/>
      <c r="AF6" s="89"/>
      <c r="AG6" s="1"/>
      <c r="AH6" s="92"/>
      <c r="AI6" s="89"/>
      <c r="AJ6" s="1"/>
      <c r="AK6" s="92"/>
    </row>
    <row r="7" spans="1:37" x14ac:dyDescent="0.5">
      <c r="A7" s="85" t="s">
        <v>3</v>
      </c>
      <c r="B7" s="93">
        <f>Langstaat!D11</f>
        <v>57445</v>
      </c>
      <c r="C7" s="3">
        <f>Langstaat!E11</f>
        <v>25697</v>
      </c>
      <c r="D7" s="97">
        <f>B7+C7</f>
        <v>83142</v>
      </c>
      <c r="E7" s="93">
        <f>Langstaat!G11</f>
        <v>47329</v>
      </c>
      <c r="F7" s="3">
        <f>Langstaat!H11</f>
        <v>21678</v>
      </c>
      <c r="G7" s="97">
        <f>E7+F7</f>
        <v>69007</v>
      </c>
      <c r="H7" s="93">
        <f>Langstaat!J11</f>
        <v>63462</v>
      </c>
      <c r="I7" s="3">
        <f>Langstaat!K11</f>
        <v>18608</v>
      </c>
      <c r="J7" s="97">
        <f>H7+I7</f>
        <v>82070</v>
      </c>
      <c r="K7" s="93">
        <f>Langstaat!M11</f>
        <v>58996</v>
      </c>
      <c r="L7" s="3">
        <f>Langstaat!N11</f>
        <v>19339</v>
      </c>
      <c r="M7" s="97">
        <f>K7+L7</f>
        <v>78335</v>
      </c>
      <c r="N7" s="93">
        <f>Langstaat!P11</f>
        <v>66958</v>
      </c>
      <c r="O7" s="3">
        <f>Langstaat!Q11</f>
        <v>19151</v>
      </c>
      <c r="P7" s="97">
        <f>N7+O7</f>
        <v>86109</v>
      </c>
      <c r="Q7" s="93">
        <f>Langstaat!S11</f>
        <v>65273</v>
      </c>
      <c r="R7" s="3">
        <f>Langstaat!T11</f>
        <v>18034</v>
      </c>
      <c r="S7" s="97">
        <f>Q7+R7</f>
        <v>83307</v>
      </c>
      <c r="T7" s="93">
        <f>Langstaat!V11</f>
        <v>56988</v>
      </c>
      <c r="U7" s="3">
        <f>Langstaat!W11</f>
        <v>16361</v>
      </c>
      <c r="V7" s="97">
        <f>T7+U7</f>
        <v>73349</v>
      </c>
      <c r="W7" s="93">
        <f>Langstaat!Y11</f>
        <v>61758</v>
      </c>
      <c r="X7" s="3">
        <f>Langstaat!Z11</f>
        <v>14387</v>
      </c>
      <c r="Y7" s="97">
        <f>W7+X7</f>
        <v>76145</v>
      </c>
      <c r="Z7" s="93">
        <f>Langstaat!AB11</f>
        <v>75083</v>
      </c>
      <c r="AA7" s="3">
        <f>Langstaat!AC11</f>
        <v>12422</v>
      </c>
      <c r="AB7" s="97">
        <f>Z7+AA7</f>
        <v>87505</v>
      </c>
      <c r="AC7" s="93">
        <f>Langstaat!AE11</f>
        <v>61955</v>
      </c>
      <c r="AD7" s="3">
        <f>Langstaat!AF11</f>
        <v>10515</v>
      </c>
      <c r="AE7" s="97">
        <f>AC7+AD7</f>
        <v>72470</v>
      </c>
      <c r="AF7" s="93">
        <f>Langstaat!AH11</f>
        <v>54262</v>
      </c>
      <c r="AG7" s="3">
        <f>Langstaat!AI11</f>
        <v>7622</v>
      </c>
      <c r="AH7" s="97">
        <f>AF7+AG7</f>
        <v>61884</v>
      </c>
      <c r="AI7" s="93">
        <f>Langstaat!AK11</f>
        <v>43736</v>
      </c>
      <c r="AJ7" s="3">
        <f>Langstaat!AL11</f>
        <v>4107</v>
      </c>
      <c r="AK7" s="97">
        <f>AI7+AJ7</f>
        <v>47843</v>
      </c>
    </row>
    <row r="8" spans="1:37" x14ac:dyDescent="0.5">
      <c r="A8" s="86" t="s">
        <v>394</v>
      </c>
      <c r="B8" s="94">
        <f>Langstaat!D14</f>
        <v>1230</v>
      </c>
      <c r="C8" s="2">
        <f>Langstaat!E14</f>
        <v>125</v>
      </c>
      <c r="D8" s="98">
        <f>B8+C8</f>
        <v>1355</v>
      </c>
      <c r="E8" s="94">
        <f>Langstaat!G14</f>
        <v>679</v>
      </c>
      <c r="F8" s="2">
        <f>Langstaat!H14</f>
        <v>401</v>
      </c>
      <c r="G8" s="98">
        <f>E8+F8</f>
        <v>1080</v>
      </c>
      <c r="H8" s="94">
        <f>Langstaat!J14</f>
        <v>6167</v>
      </c>
      <c r="I8" s="2">
        <f>Langstaat!K14</f>
        <v>4887</v>
      </c>
      <c r="J8" s="98">
        <f>H8+I8</f>
        <v>11054</v>
      </c>
      <c r="K8" s="94">
        <f>Langstaat!M14</f>
        <v>20987</v>
      </c>
      <c r="L8" s="2">
        <f>Langstaat!N14</f>
        <v>5517</v>
      </c>
      <c r="M8" s="98">
        <f>K8+L8</f>
        <v>26504</v>
      </c>
      <c r="N8" s="94">
        <f>Langstaat!P14</f>
        <v>8100</v>
      </c>
      <c r="O8" s="2">
        <f>Langstaat!Q14</f>
        <v>2819</v>
      </c>
      <c r="P8" s="98">
        <f>N8+O8</f>
        <v>10919</v>
      </c>
      <c r="Q8" s="94">
        <f>Langstaat!S14</f>
        <v>5613</v>
      </c>
      <c r="R8" s="2">
        <f>Langstaat!T14</f>
        <v>1672</v>
      </c>
      <c r="S8" s="98">
        <f>Q8+R8</f>
        <v>7285</v>
      </c>
      <c r="T8" s="94">
        <f>Langstaat!V14</f>
        <v>2728</v>
      </c>
      <c r="U8" s="2">
        <f>Langstaat!W14</f>
        <v>316</v>
      </c>
      <c r="V8" s="98">
        <f>T8+U8</f>
        <v>3044</v>
      </c>
      <c r="W8" s="94">
        <f>Langstaat!Y14</f>
        <v>1195</v>
      </c>
      <c r="X8" s="2">
        <f>Langstaat!Z14</f>
        <v>4</v>
      </c>
      <c r="Y8" s="98">
        <f>W8+X8</f>
        <v>1199</v>
      </c>
      <c r="Z8" s="94">
        <f>Langstaat!AB14</f>
        <v>1733</v>
      </c>
      <c r="AA8" s="2">
        <f>Langstaat!AC14</f>
        <v>171</v>
      </c>
      <c r="AB8" s="98">
        <f>Z8+AA8</f>
        <v>1904</v>
      </c>
      <c r="AC8" s="94">
        <f>Langstaat!AE14</f>
        <v>1930</v>
      </c>
      <c r="AD8" s="2">
        <f>Langstaat!AF14</f>
        <v>31</v>
      </c>
      <c r="AE8" s="98">
        <f>AC8+AD8</f>
        <v>1961</v>
      </c>
      <c r="AF8" s="94">
        <f>Langstaat!AH14</f>
        <v>1447</v>
      </c>
      <c r="AG8" s="2">
        <f>Langstaat!AI14</f>
        <v>34</v>
      </c>
      <c r="AH8" s="98">
        <f>AF8+AG8</f>
        <v>1481</v>
      </c>
      <c r="AI8" s="94">
        <f>Langstaat!AK14</f>
        <v>792</v>
      </c>
      <c r="AJ8" s="2">
        <f>Langstaat!AL14</f>
        <v>0</v>
      </c>
      <c r="AK8" s="98">
        <f>AI8+AJ8</f>
        <v>792</v>
      </c>
    </row>
    <row r="9" spans="1:37" x14ac:dyDescent="0.5">
      <c r="A9" s="86" t="s">
        <v>395</v>
      </c>
      <c r="B9" s="94">
        <f>Langstaat!D15</f>
        <v>0</v>
      </c>
      <c r="C9" s="2">
        <f>Langstaat!E15</f>
        <v>0</v>
      </c>
      <c r="D9" s="98">
        <f>B9+C9</f>
        <v>0</v>
      </c>
      <c r="E9" s="94">
        <f>Langstaat!G15</f>
        <v>31071</v>
      </c>
      <c r="F9" s="2">
        <f>Langstaat!H15</f>
        <v>0</v>
      </c>
      <c r="G9" s="98">
        <f>E9+F9</f>
        <v>31071</v>
      </c>
      <c r="H9" s="94">
        <f>Langstaat!J15</f>
        <v>2048</v>
      </c>
      <c r="I9" s="2">
        <f>Langstaat!K15</f>
        <v>0</v>
      </c>
      <c r="J9" s="98">
        <f>H9+I9</f>
        <v>2048</v>
      </c>
      <c r="K9" s="94">
        <f>Langstaat!M15</f>
        <v>0</v>
      </c>
      <c r="L9" s="2">
        <f>Langstaat!N15</f>
        <v>0</v>
      </c>
      <c r="M9" s="98">
        <f>K9+L9</f>
        <v>0</v>
      </c>
      <c r="N9" s="94">
        <f>Langstaat!P15</f>
        <v>0</v>
      </c>
      <c r="O9" s="2">
        <f>Langstaat!Q15</f>
        <v>0</v>
      </c>
      <c r="P9" s="98">
        <f>N9+O9</f>
        <v>0</v>
      </c>
      <c r="Q9" s="94">
        <f>Langstaat!S15</f>
        <v>0</v>
      </c>
      <c r="R9" s="2">
        <f>Langstaat!T15</f>
        <v>0</v>
      </c>
      <c r="S9" s="98">
        <f>Q9+R9</f>
        <v>0</v>
      </c>
      <c r="T9" s="94">
        <f>Langstaat!V15</f>
        <v>15745</v>
      </c>
      <c r="U9" s="2">
        <f>Langstaat!W15</f>
        <v>0</v>
      </c>
      <c r="V9" s="98">
        <f>T9+U9</f>
        <v>15745</v>
      </c>
      <c r="W9" s="94">
        <f>Langstaat!Y15</f>
        <v>26068</v>
      </c>
      <c r="X9" s="2">
        <f>Langstaat!Z15</f>
        <v>0</v>
      </c>
      <c r="Y9" s="98">
        <f>W9+X9</f>
        <v>26068</v>
      </c>
      <c r="Z9" s="94">
        <f>Langstaat!AB15</f>
        <v>0</v>
      </c>
      <c r="AA9" s="2">
        <f>Langstaat!AC15</f>
        <v>0</v>
      </c>
      <c r="AB9" s="98">
        <f>Z9+AA9</f>
        <v>0</v>
      </c>
      <c r="AC9" s="94">
        <f>Langstaat!AE15</f>
        <v>0</v>
      </c>
      <c r="AD9" s="2">
        <f>Langstaat!AF15</f>
        <v>0</v>
      </c>
      <c r="AE9" s="98">
        <f>AC9+AD9</f>
        <v>0</v>
      </c>
      <c r="AF9" s="94">
        <f>Langstaat!AH15</f>
        <v>25</v>
      </c>
      <c r="AG9" s="2">
        <f>Langstaat!AI15</f>
        <v>0</v>
      </c>
      <c r="AH9" s="98">
        <f>AF9+AG9</f>
        <v>25</v>
      </c>
      <c r="AI9" s="94">
        <f>Langstaat!AK15</f>
        <v>0</v>
      </c>
      <c r="AJ9" s="2">
        <f>Langstaat!AL15</f>
        <v>0</v>
      </c>
      <c r="AK9" s="98">
        <f>AI9+AJ9</f>
        <v>0</v>
      </c>
    </row>
    <row r="10" spans="1:37" x14ac:dyDescent="0.5">
      <c r="A10" s="86" t="s">
        <v>9</v>
      </c>
      <c r="B10" s="94">
        <f>IF(Langstaat!D43&lt;0,-Langstaat!D43,0)</f>
        <v>0</v>
      </c>
      <c r="C10" s="2">
        <f>IF(Langstaat!E43&lt;0,-Langstaat!E43,0)</f>
        <v>271</v>
      </c>
      <c r="D10" s="98">
        <f>B10+C10</f>
        <v>271</v>
      </c>
      <c r="E10" s="94">
        <f>IF(Langstaat!G43&lt;0,-Langstaat!G43,0)</f>
        <v>0</v>
      </c>
      <c r="F10" s="2">
        <f>IF(Langstaat!H43&lt;0,-Langstaat!H43,0)</f>
        <v>543</v>
      </c>
      <c r="G10" s="98">
        <f>E10+F10</f>
        <v>543</v>
      </c>
      <c r="H10" s="94">
        <f>IF(Langstaat!J43&lt;0,-Langstaat!J43,0)</f>
        <v>1329</v>
      </c>
      <c r="I10" s="2">
        <f>IF(Langstaat!K43&lt;0,-Langstaat!K43,0)</f>
        <v>0</v>
      </c>
      <c r="J10" s="98">
        <f>H10+I10</f>
        <v>1329</v>
      </c>
      <c r="K10" s="94">
        <f>IF(Langstaat!M43&lt;0,-Langstaat!M43,0)</f>
        <v>0</v>
      </c>
      <c r="L10" s="2">
        <f>IF(Langstaat!N43&lt;0,-Langstaat!N43,0)</f>
        <v>0</v>
      </c>
      <c r="M10" s="98">
        <f>K10+L10</f>
        <v>0</v>
      </c>
      <c r="N10" s="94">
        <f>IF(Langstaat!P43&lt;0,-Langstaat!P43,0)</f>
        <v>142</v>
      </c>
      <c r="O10" s="2">
        <f>IF(Langstaat!Q43&lt;0,-Langstaat!Q43,0)</f>
        <v>29</v>
      </c>
      <c r="P10" s="98">
        <f>N10+O10</f>
        <v>171</v>
      </c>
      <c r="Q10" s="94">
        <f>IF(Langstaat!S43&lt;0,-Langstaat!S43,0)</f>
        <v>0</v>
      </c>
      <c r="R10" s="2">
        <f>IF(Langstaat!T43&lt;0,-Langstaat!T43,0)</f>
        <v>0</v>
      </c>
      <c r="S10" s="98">
        <f>Q10+R10</f>
        <v>0</v>
      </c>
      <c r="T10" s="94">
        <f>IF(Langstaat!V43&lt;0,-Langstaat!V43,0)</f>
        <v>21</v>
      </c>
      <c r="U10" s="2">
        <f>IF(Langstaat!W43&lt;0,-Langstaat!W43,0)</f>
        <v>104</v>
      </c>
      <c r="V10" s="98">
        <f>T10+U10</f>
        <v>125</v>
      </c>
      <c r="W10" s="94">
        <f>IF(Langstaat!Y43&lt;0,-Langstaat!Y43,0)</f>
        <v>0</v>
      </c>
      <c r="X10" s="2">
        <f>IF(Langstaat!Z43&lt;0,-Langstaat!Z43,0)</f>
        <v>425</v>
      </c>
      <c r="Y10" s="98">
        <f>W10+X10</f>
        <v>425</v>
      </c>
      <c r="Z10" s="94">
        <f>IF(Langstaat!AB43&lt;0,-Langstaat!AB43,0)</f>
        <v>39</v>
      </c>
      <c r="AA10" s="2">
        <f>IF(Langstaat!AC43&lt;0,-Langstaat!AC43,0)</f>
        <v>146</v>
      </c>
      <c r="AB10" s="98">
        <f>Z10+AA10</f>
        <v>185</v>
      </c>
      <c r="AC10" s="94">
        <f>IF(Langstaat!AE43&lt;0,-Langstaat!AE43,0)</f>
        <v>707</v>
      </c>
      <c r="AD10" s="2">
        <f>IF(Langstaat!AF43&lt;0,-Langstaat!AF43,0)</f>
        <v>115</v>
      </c>
      <c r="AE10" s="98">
        <f>AC10+AD10</f>
        <v>822</v>
      </c>
      <c r="AF10" s="94">
        <f>IF(Langstaat!AH43&lt;0,-Langstaat!AH43,0)</f>
        <v>0</v>
      </c>
      <c r="AG10" s="2">
        <f>IF(Langstaat!AI43&lt;0,-Langstaat!AI43,0)</f>
        <v>117</v>
      </c>
      <c r="AH10" s="98">
        <f>AF10+AG10</f>
        <v>117</v>
      </c>
      <c r="AI10" s="94">
        <f>IF(Langstaat!AK43&lt;0,-Langstaat!AK43,0)</f>
        <v>0</v>
      </c>
      <c r="AJ10" s="2">
        <f>IF(Langstaat!AL43&lt;0,-Langstaat!AL43,0)</f>
        <v>64</v>
      </c>
      <c r="AK10" s="98">
        <f>AI10+AJ10</f>
        <v>64</v>
      </c>
    </row>
    <row r="11" spans="1:37" x14ac:dyDescent="0.5">
      <c r="A11" s="85" t="s">
        <v>396</v>
      </c>
      <c r="B11" s="93">
        <f>SUM(B7:B10)</f>
        <v>58675</v>
      </c>
      <c r="C11" s="3">
        <f>SUM(C7:C10)</f>
        <v>26093</v>
      </c>
      <c r="D11" s="97">
        <f>B11+C11</f>
        <v>84768</v>
      </c>
      <c r="E11" s="93">
        <f>SUM(E7:E10)</f>
        <v>79079</v>
      </c>
      <c r="F11" s="3">
        <f>SUM(F7:F10)</f>
        <v>22622</v>
      </c>
      <c r="G11" s="97">
        <f>E11+F11</f>
        <v>101701</v>
      </c>
      <c r="H11" s="93">
        <f>SUM(H7:H10)</f>
        <v>73006</v>
      </c>
      <c r="I11" s="3">
        <f>SUM(I7:I10)</f>
        <v>23495</v>
      </c>
      <c r="J11" s="97">
        <f>H11+I11</f>
        <v>96501</v>
      </c>
      <c r="K11" s="93">
        <f>SUM(K7:K10)</f>
        <v>79983</v>
      </c>
      <c r="L11" s="3">
        <f>SUM(L7:L10)</f>
        <v>24856</v>
      </c>
      <c r="M11" s="97">
        <f>K11+L11</f>
        <v>104839</v>
      </c>
      <c r="N11" s="93">
        <f>SUM(N7:N10)</f>
        <v>75200</v>
      </c>
      <c r="O11" s="3">
        <f>SUM(O7:O10)</f>
        <v>21999</v>
      </c>
      <c r="P11" s="97">
        <f>N11+O11</f>
        <v>97199</v>
      </c>
      <c r="Q11" s="93">
        <f>SUM(Q7:Q10)</f>
        <v>70886</v>
      </c>
      <c r="R11" s="3">
        <f>SUM(R7:R10)</f>
        <v>19706</v>
      </c>
      <c r="S11" s="97">
        <f>Q11+R11</f>
        <v>90592</v>
      </c>
      <c r="T11" s="93">
        <f>SUM(T7:T10)</f>
        <v>75482</v>
      </c>
      <c r="U11" s="3">
        <f>SUM(U7:U10)</f>
        <v>16781</v>
      </c>
      <c r="V11" s="97">
        <f>T11+U11</f>
        <v>92263</v>
      </c>
      <c r="W11" s="93">
        <f>SUM(W7:W10)</f>
        <v>89021</v>
      </c>
      <c r="X11" s="3">
        <f>SUM(X7:X10)</f>
        <v>14816</v>
      </c>
      <c r="Y11" s="97">
        <f>W11+X11</f>
        <v>103837</v>
      </c>
      <c r="Z11" s="93">
        <f>SUM(Z7:Z10)</f>
        <v>76855</v>
      </c>
      <c r="AA11" s="3">
        <f>SUM(AA7:AA10)</f>
        <v>12739</v>
      </c>
      <c r="AB11" s="97">
        <f>Z11+AA11</f>
        <v>89594</v>
      </c>
      <c r="AC11" s="93">
        <f>SUM(AC7:AC10)</f>
        <v>64592</v>
      </c>
      <c r="AD11" s="3">
        <f>SUM(AD7:AD10)</f>
        <v>10661</v>
      </c>
      <c r="AE11" s="97">
        <f>AC11+AD11</f>
        <v>75253</v>
      </c>
      <c r="AF11" s="93">
        <f>SUM(AF7:AF10)</f>
        <v>55734</v>
      </c>
      <c r="AG11" s="3">
        <f>SUM(AG7:AG10)</f>
        <v>7773</v>
      </c>
      <c r="AH11" s="97">
        <f>AF11+AG11</f>
        <v>63507</v>
      </c>
      <c r="AI11" s="93">
        <f>SUM(AI7:AI10)</f>
        <v>44528</v>
      </c>
      <c r="AJ11" s="3">
        <f>SUM(AJ7:AJ10)</f>
        <v>4171</v>
      </c>
      <c r="AK11" s="97">
        <f>AI11+AJ11</f>
        <v>48699</v>
      </c>
    </row>
    <row r="12" spans="1:37" x14ac:dyDescent="0.5">
      <c r="A12" s="86"/>
      <c r="B12" s="94"/>
      <c r="C12" s="2"/>
      <c r="D12" s="98"/>
      <c r="E12" s="94"/>
      <c r="F12" s="2"/>
      <c r="G12" s="98"/>
      <c r="H12" s="94"/>
      <c r="I12" s="2"/>
      <c r="J12" s="98"/>
      <c r="K12" s="94"/>
      <c r="L12" s="2"/>
      <c r="M12" s="98"/>
      <c r="N12" s="94"/>
      <c r="O12" s="2"/>
      <c r="P12" s="98"/>
      <c r="Q12" s="94"/>
      <c r="R12" s="2"/>
      <c r="S12" s="98"/>
      <c r="T12" s="94"/>
      <c r="U12" s="2"/>
      <c r="V12" s="98"/>
      <c r="W12" s="94"/>
      <c r="X12" s="2"/>
      <c r="Y12" s="98"/>
      <c r="Z12" s="94"/>
      <c r="AA12" s="2"/>
      <c r="AB12" s="98"/>
      <c r="AC12" s="94"/>
      <c r="AD12" s="2"/>
      <c r="AE12" s="98"/>
      <c r="AF12" s="94"/>
      <c r="AG12" s="2"/>
      <c r="AH12" s="98"/>
      <c r="AI12" s="94"/>
      <c r="AJ12" s="2"/>
      <c r="AK12" s="98"/>
    </row>
    <row r="13" spans="1:37" x14ac:dyDescent="0.5">
      <c r="A13" s="85" t="s">
        <v>397</v>
      </c>
      <c r="B13" s="93"/>
      <c r="C13" s="3"/>
      <c r="D13" s="97"/>
      <c r="E13" s="93"/>
      <c r="F13" s="3"/>
      <c r="G13" s="97"/>
      <c r="H13" s="93"/>
      <c r="I13" s="3"/>
      <c r="J13" s="97"/>
      <c r="K13" s="93"/>
      <c r="L13" s="3"/>
      <c r="M13" s="97"/>
      <c r="N13" s="93"/>
      <c r="O13" s="3"/>
      <c r="P13" s="97"/>
      <c r="Q13" s="93"/>
      <c r="R13" s="3"/>
      <c r="S13" s="97"/>
      <c r="T13" s="93"/>
      <c r="U13" s="3"/>
      <c r="V13" s="97"/>
      <c r="W13" s="93"/>
      <c r="X13" s="3"/>
      <c r="Y13" s="97"/>
      <c r="Z13" s="93"/>
      <c r="AA13" s="3"/>
      <c r="AB13" s="97"/>
      <c r="AC13" s="93"/>
      <c r="AD13" s="3"/>
      <c r="AE13" s="97"/>
      <c r="AF13" s="93"/>
      <c r="AG13" s="3"/>
      <c r="AH13" s="97"/>
      <c r="AI13" s="93"/>
      <c r="AJ13" s="3"/>
      <c r="AK13" s="97"/>
    </row>
    <row r="14" spans="1:37" x14ac:dyDescent="0.5">
      <c r="A14" s="86" t="s">
        <v>398</v>
      </c>
      <c r="B14" s="94">
        <f>B15+B21</f>
        <v>9566</v>
      </c>
      <c r="C14" s="2">
        <f>C15+C21</f>
        <v>3272</v>
      </c>
      <c r="D14" s="98">
        <f t="shared" ref="D14:D30" si="0">B14+C14</f>
        <v>12838</v>
      </c>
      <c r="E14" s="94">
        <f>E15+E21</f>
        <v>9871</v>
      </c>
      <c r="F14" s="2">
        <f>F15+F21</f>
        <v>3630</v>
      </c>
      <c r="G14" s="98">
        <f t="shared" ref="G14:G30" si="1">E14+F14</f>
        <v>13501</v>
      </c>
      <c r="H14" s="94">
        <f>H15+H21</f>
        <v>12970</v>
      </c>
      <c r="I14" s="2">
        <f>I15+I21</f>
        <v>1874</v>
      </c>
      <c r="J14" s="98">
        <f t="shared" ref="J14:J30" si="2">H14+I14</f>
        <v>14844</v>
      </c>
      <c r="K14" s="94">
        <f>K15+K21</f>
        <v>11399</v>
      </c>
      <c r="L14" s="2">
        <f>L15+L21</f>
        <v>5056</v>
      </c>
      <c r="M14" s="98">
        <f t="shared" ref="M14:M30" si="3">K14+L14</f>
        <v>16455</v>
      </c>
      <c r="N14" s="94">
        <f>N15+N21</f>
        <v>9672</v>
      </c>
      <c r="O14" s="2">
        <f>O15+O21</f>
        <v>3594</v>
      </c>
      <c r="P14" s="98">
        <f t="shared" ref="P14:P30" si="4">N14+O14</f>
        <v>13266</v>
      </c>
      <c r="Q14" s="94">
        <f>Q15+Q21</f>
        <v>12170</v>
      </c>
      <c r="R14" s="2">
        <f>R15+R21</f>
        <v>2739</v>
      </c>
      <c r="S14" s="98">
        <f t="shared" ref="S14:S30" si="5">Q14+R14</f>
        <v>14909</v>
      </c>
      <c r="T14" s="94">
        <f>T15+T21</f>
        <v>12818</v>
      </c>
      <c r="U14" s="2">
        <f>U15+U21</f>
        <v>1719</v>
      </c>
      <c r="V14" s="98">
        <f t="shared" ref="V14:V30" si="6">T14+U14</f>
        <v>14537</v>
      </c>
      <c r="W14" s="94">
        <f>W15+W21</f>
        <v>13149</v>
      </c>
      <c r="X14" s="2">
        <f>X15+X21</f>
        <v>1977</v>
      </c>
      <c r="Y14" s="98">
        <f t="shared" ref="Y14:Y30" si="7">W14+X14</f>
        <v>15126</v>
      </c>
      <c r="Z14" s="94">
        <f>Z15+Z21</f>
        <v>14243</v>
      </c>
      <c r="AA14" s="2">
        <f>AA15+AA21</f>
        <v>2178</v>
      </c>
      <c r="AB14" s="98">
        <f t="shared" ref="AB14:AB30" si="8">Z14+AA14</f>
        <v>16421</v>
      </c>
      <c r="AC14" s="94">
        <f>AC15+AC21</f>
        <v>9500</v>
      </c>
      <c r="AD14" s="2">
        <f>AD15+AD21</f>
        <v>3128</v>
      </c>
      <c r="AE14" s="98">
        <f t="shared" ref="AE14:AE30" si="9">AC14+AD14</f>
        <v>12628</v>
      </c>
      <c r="AF14" s="94">
        <f>AF15+AF21</f>
        <v>9251</v>
      </c>
      <c r="AG14" s="2">
        <f>AG15+AG21</f>
        <v>3881</v>
      </c>
      <c r="AH14" s="98">
        <f t="shared" ref="AH14:AH30" si="10">AF14+AG14</f>
        <v>13132</v>
      </c>
      <c r="AI14" s="94">
        <f>AI15+AI21</f>
        <v>12144</v>
      </c>
      <c r="AJ14" s="2">
        <f>AJ15+AJ21</f>
        <v>514</v>
      </c>
      <c r="AK14" s="98">
        <f t="shared" ref="AK14:AK30" si="11">AI14+AJ14</f>
        <v>12658</v>
      </c>
    </row>
    <row r="15" spans="1:37" x14ac:dyDescent="0.5">
      <c r="A15" s="86" t="s">
        <v>399</v>
      </c>
      <c r="B15" s="94">
        <f>SUM(B16:B20)</f>
        <v>9024</v>
      </c>
      <c r="C15" s="2">
        <f>SUM(C16:C20)</f>
        <v>2996</v>
      </c>
      <c r="D15" s="98">
        <f t="shared" si="0"/>
        <v>12020</v>
      </c>
      <c r="E15" s="94">
        <f>SUM(E16:E20)</f>
        <v>9412</v>
      </c>
      <c r="F15" s="2">
        <f>SUM(F16:F20)</f>
        <v>3222</v>
      </c>
      <c r="G15" s="98">
        <f t="shared" si="1"/>
        <v>12634</v>
      </c>
      <c r="H15" s="94">
        <f>SUM(H16:H20)</f>
        <v>12362</v>
      </c>
      <c r="I15" s="2">
        <f>SUM(I16:I20)</f>
        <v>1653</v>
      </c>
      <c r="J15" s="98">
        <f t="shared" si="2"/>
        <v>14015</v>
      </c>
      <c r="K15" s="94">
        <f>SUM(K16:K20)</f>
        <v>10827</v>
      </c>
      <c r="L15" s="2">
        <f>SUM(L16:L20)</f>
        <v>4904</v>
      </c>
      <c r="M15" s="98">
        <f t="shared" si="3"/>
        <v>15731</v>
      </c>
      <c r="N15" s="94">
        <f>SUM(N16:N20)</f>
        <v>9007</v>
      </c>
      <c r="O15" s="2">
        <f>SUM(O16:O20)</f>
        <v>3494</v>
      </c>
      <c r="P15" s="98">
        <f t="shared" si="4"/>
        <v>12501</v>
      </c>
      <c r="Q15" s="94">
        <f>SUM(Q16:Q20)</f>
        <v>11561</v>
      </c>
      <c r="R15" s="2">
        <f>SUM(R16:R20)</f>
        <v>2469</v>
      </c>
      <c r="S15" s="98">
        <f t="shared" si="5"/>
        <v>14030</v>
      </c>
      <c r="T15" s="94">
        <f>SUM(T16:T20)</f>
        <v>12384</v>
      </c>
      <c r="U15" s="2">
        <f>SUM(U16:U20)</f>
        <v>1358</v>
      </c>
      <c r="V15" s="98">
        <f t="shared" si="6"/>
        <v>13742</v>
      </c>
      <c r="W15" s="94">
        <f>SUM(W16:W20)</f>
        <v>12462</v>
      </c>
      <c r="X15" s="2">
        <f>SUM(X16:X20)</f>
        <v>1824</v>
      </c>
      <c r="Y15" s="98">
        <f t="shared" si="7"/>
        <v>14286</v>
      </c>
      <c r="Z15" s="94">
        <f>SUM(Z16:Z20)</f>
        <v>13179</v>
      </c>
      <c r="AA15" s="2">
        <f>SUM(AA16:AA20)</f>
        <v>2007</v>
      </c>
      <c r="AB15" s="98">
        <f t="shared" si="8"/>
        <v>15186</v>
      </c>
      <c r="AC15" s="94">
        <f>SUM(AC16:AC20)</f>
        <v>9090</v>
      </c>
      <c r="AD15" s="2">
        <f>SUM(AD16:AD20)</f>
        <v>2993</v>
      </c>
      <c r="AE15" s="98">
        <f t="shared" si="9"/>
        <v>12083</v>
      </c>
      <c r="AF15" s="94">
        <f>SUM(AF16:AF20)</f>
        <v>8641</v>
      </c>
      <c r="AG15" s="2">
        <f>SUM(AG16:AG20)</f>
        <v>3722</v>
      </c>
      <c r="AH15" s="98">
        <f t="shared" si="10"/>
        <v>12363</v>
      </c>
      <c r="AI15" s="94">
        <f>SUM(AI16:AI20)</f>
        <v>11546</v>
      </c>
      <c r="AJ15" s="2">
        <f>SUM(AJ16:AJ20)</f>
        <v>467</v>
      </c>
      <c r="AK15" s="98">
        <f t="shared" si="11"/>
        <v>12013</v>
      </c>
    </row>
    <row r="16" spans="1:37" x14ac:dyDescent="0.5">
      <c r="A16" s="86" t="s">
        <v>400</v>
      </c>
      <c r="B16" s="94">
        <f>Langstaat!D20</f>
        <v>10</v>
      </c>
      <c r="C16" s="2">
        <f>Langstaat!E20</f>
        <v>550</v>
      </c>
      <c r="D16" s="98">
        <f t="shared" si="0"/>
        <v>560</v>
      </c>
      <c r="E16" s="94">
        <f>Langstaat!G20</f>
        <v>78</v>
      </c>
      <c r="F16" s="2">
        <f>Langstaat!H20</f>
        <v>925</v>
      </c>
      <c r="G16" s="98">
        <f t="shared" si="1"/>
        <v>1003</v>
      </c>
      <c r="H16" s="94">
        <f>Langstaat!J20</f>
        <v>178</v>
      </c>
      <c r="I16" s="2">
        <f>Langstaat!K20</f>
        <v>884</v>
      </c>
      <c r="J16" s="98">
        <f t="shared" si="2"/>
        <v>1062</v>
      </c>
      <c r="K16" s="94">
        <f>Langstaat!M20</f>
        <v>9</v>
      </c>
      <c r="L16" s="2">
        <f>Langstaat!N20</f>
        <v>793</v>
      </c>
      <c r="M16" s="98">
        <f t="shared" si="3"/>
        <v>802</v>
      </c>
      <c r="N16" s="94">
        <f>Langstaat!P20</f>
        <v>8</v>
      </c>
      <c r="O16" s="2">
        <f>Langstaat!Q20</f>
        <v>1074</v>
      </c>
      <c r="P16" s="98">
        <f t="shared" si="4"/>
        <v>1082</v>
      </c>
      <c r="Q16" s="94">
        <f>Langstaat!S20</f>
        <v>18</v>
      </c>
      <c r="R16" s="2">
        <f>Langstaat!T20</f>
        <v>1370</v>
      </c>
      <c r="S16" s="98">
        <f t="shared" si="5"/>
        <v>1388</v>
      </c>
      <c r="T16" s="94">
        <f>Langstaat!V20</f>
        <v>101</v>
      </c>
      <c r="U16" s="2">
        <f>Langstaat!W20</f>
        <v>914</v>
      </c>
      <c r="V16" s="98">
        <f t="shared" si="6"/>
        <v>1015</v>
      </c>
      <c r="W16" s="94">
        <f>Langstaat!Y20</f>
        <v>878</v>
      </c>
      <c r="X16" s="2">
        <f>Langstaat!Z20</f>
        <v>407</v>
      </c>
      <c r="Y16" s="98">
        <f t="shared" si="7"/>
        <v>1285</v>
      </c>
      <c r="Z16" s="94">
        <f>Langstaat!AB20</f>
        <v>714</v>
      </c>
      <c r="AA16" s="2">
        <f>Langstaat!AC20</f>
        <v>291</v>
      </c>
      <c r="AB16" s="98">
        <f t="shared" si="8"/>
        <v>1005</v>
      </c>
      <c r="AC16" s="94">
        <f>Langstaat!AE20</f>
        <v>470</v>
      </c>
      <c r="AD16" s="2">
        <f>Langstaat!AF20</f>
        <v>185</v>
      </c>
      <c r="AE16" s="98">
        <f t="shared" si="9"/>
        <v>655</v>
      </c>
      <c r="AF16" s="94">
        <f>Langstaat!AH20</f>
        <v>517</v>
      </c>
      <c r="AG16" s="2">
        <f>Langstaat!AI20</f>
        <v>424</v>
      </c>
      <c r="AH16" s="98">
        <f t="shared" si="10"/>
        <v>941</v>
      </c>
      <c r="AI16" s="94">
        <f>Langstaat!AK20</f>
        <v>633</v>
      </c>
      <c r="AJ16" s="2">
        <f>Langstaat!AL20</f>
        <v>275</v>
      </c>
      <c r="AK16" s="98">
        <f t="shared" si="11"/>
        <v>908</v>
      </c>
    </row>
    <row r="17" spans="1:37" x14ac:dyDescent="0.5">
      <c r="A17" s="86" t="s">
        <v>401</v>
      </c>
      <c r="B17" s="94">
        <f>Langstaat!D21</f>
        <v>654</v>
      </c>
      <c r="C17" s="2">
        <f>Langstaat!E21</f>
        <v>2390</v>
      </c>
      <c r="D17" s="98">
        <f t="shared" si="0"/>
        <v>3044</v>
      </c>
      <c r="E17" s="94">
        <f>Langstaat!G21</f>
        <v>1224</v>
      </c>
      <c r="F17" s="2">
        <f>Langstaat!H21</f>
        <v>2222</v>
      </c>
      <c r="G17" s="98">
        <f t="shared" si="1"/>
        <v>3446</v>
      </c>
      <c r="H17" s="94">
        <f>Langstaat!J21</f>
        <v>4180</v>
      </c>
      <c r="I17" s="2">
        <f>Langstaat!K21</f>
        <v>715</v>
      </c>
      <c r="J17" s="98">
        <f t="shared" si="2"/>
        <v>4895</v>
      </c>
      <c r="K17" s="94">
        <f>Langstaat!M21</f>
        <v>1639</v>
      </c>
      <c r="L17" s="2">
        <f>Langstaat!N21</f>
        <v>4095</v>
      </c>
      <c r="M17" s="98">
        <f t="shared" si="3"/>
        <v>5734</v>
      </c>
      <c r="N17" s="94">
        <f>Langstaat!P21</f>
        <v>1042</v>
      </c>
      <c r="O17" s="2">
        <f>Langstaat!Q21</f>
        <v>2352</v>
      </c>
      <c r="P17" s="98">
        <f t="shared" si="4"/>
        <v>3394</v>
      </c>
      <c r="Q17" s="94">
        <f>Langstaat!S21</f>
        <v>3578</v>
      </c>
      <c r="R17" s="2">
        <f>Langstaat!T21</f>
        <v>1099</v>
      </c>
      <c r="S17" s="98">
        <f t="shared" si="5"/>
        <v>4677</v>
      </c>
      <c r="T17" s="94">
        <f>Langstaat!V21</f>
        <v>3904</v>
      </c>
      <c r="U17" s="2">
        <f>Langstaat!W21</f>
        <v>315</v>
      </c>
      <c r="V17" s="98">
        <f t="shared" si="6"/>
        <v>4219</v>
      </c>
      <c r="W17" s="94">
        <f>Langstaat!Y21</f>
        <v>3461</v>
      </c>
      <c r="X17" s="2">
        <f>Langstaat!Z21</f>
        <v>1313</v>
      </c>
      <c r="Y17" s="98">
        <f t="shared" si="7"/>
        <v>4774</v>
      </c>
      <c r="Z17" s="94">
        <f>Langstaat!AB21</f>
        <v>3053</v>
      </c>
      <c r="AA17" s="2">
        <f>Langstaat!AC21</f>
        <v>1712</v>
      </c>
      <c r="AB17" s="98">
        <f t="shared" si="8"/>
        <v>4765</v>
      </c>
      <c r="AC17" s="94">
        <f>Langstaat!AE21</f>
        <v>875</v>
      </c>
      <c r="AD17" s="2">
        <f>Langstaat!AF21</f>
        <v>2805</v>
      </c>
      <c r="AE17" s="98">
        <f t="shared" si="9"/>
        <v>3680</v>
      </c>
      <c r="AF17" s="94">
        <f>Langstaat!AH21</f>
        <v>1173</v>
      </c>
      <c r="AG17" s="2">
        <f>Langstaat!AI21</f>
        <v>3298</v>
      </c>
      <c r="AH17" s="98">
        <f t="shared" si="10"/>
        <v>4471</v>
      </c>
      <c r="AI17" s="94">
        <f>Langstaat!AK21</f>
        <v>3735</v>
      </c>
      <c r="AJ17" s="2">
        <f>Langstaat!AL21</f>
        <v>192</v>
      </c>
      <c r="AK17" s="98">
        <f t="shared" si="11"/>
        <v>3927</v>
      </c>
    </row>
    <row r="18" spans="1:37" x14ac:dyDescent="0.5">
      <c r="A18" s="86" t="s">
        <v>402</v>
      </c>
      <c r="B18" s="94">
        <f>Langstaat!D22</f>
        <v>8360</v>
      </c>
      <c r="C18" s="2">
        <f>Langstaat!E22</f>
        <v>56</v>
      </c>
      <c r="D18" s="98">
        <f t="shared" si="0"/>
        <v>8416</v>
      </c>
      <c r="E18" s="94">
        <f>Langstaat!G22</f>
        <v>8110</v>
      </c>
      <c r="F18" s="2">
        <f>Langstaat!H22</f>
        <v>75</v>
      </c>
      <c r="G18" s="98">
        <f t="shared" si="1"/>
        <v>8185</v>
      </c>
      <c r="H18" s="94">
        <f>Langstaat!J22</f>
        <v>8004</v>
      </c>
      <c r="I18" s="2">
        <f>Langstaat!K22</f>
        <v>54</v>
      </c>
      <c r="J18" s="98">
        <f t="shared" si="2"/>
        <v>8058</v>
      </c>
      <c r="K18" s="94">
        <f>Langstaat!M22</f>
        <v>9179</v>
      </c>
      <c r="L18" s="2">
        <f>Langstaat!N22</f>
        <v>16</v>
      </c>
      <c r="M18" s="98">
        <f t="shared" si="3"/>
        <v>9195</v>
      </c>
      <c r="N18" s="94">
        <f>Langstaat!P22</f>
        <v>7957</v>
      </c>
      <c r="O18" s="2">
        <f>Langstaat!Q22</f>
        <v>68</v>
      </c>
      <c r="P18" s="98">
        <f t="shared" si="4"/>
        <v>8025</v>
      </c>
      <c r="Q18" s="94">
        <f>Langstaat!S22</f>
        <v>7965</v>
      </c>
      <c r="R18" s="2">
        <f>Langstaat!T22</f>
        <v>0</v>
      </c>
      <c r="S18" s="98">
        <f t="shared" si="5"/>
        <v>7965</v>
      </c>
      <c r="T18" s="94">
        <f>Langstaat!V22</f>
        <v>8379</v>
      </c>
      <c r="U18" s="2">
        <f>Langstaat!W22</f>
        <v>129</v>
      </c>
      <c r="V18" s="98">
        <f t="shared" si="6"/>
        <v>8508</v>
      </c>
      <c r="W18" s="94">
        <f>Langstaat!Y22</f>
        <v>8123</v>
      </c>
      <c r="X18" s="2">
        <f>Langstaat!Z22</f>
        <v>104</v>
      </c>
      <c r="Y18" s="98">
        <f t="shared" si="7"/>
        <v>8227</v>
      </c>
      <c r="Z18" s="94">
        <f>Langstaat!AB22</f>
        <v>9412</v>
      </c>
      <c r="AA18" s="2">
        <f>Langstaat!AC22</f>
        <v>4</v>
      </c>
      <c r="AB18" s="98">
        <f t="shared" si="8"/>
        <v>9416</v>
      </c>
      <c r="AC18" s="94">
        <f>Langstaat!AE22</f>
        <v>7745</v>
      </c>
      <c r="AD18" s="2">
        <f>Langstaat!AF22</f>
        <v>3</v>
      </c>
      <c r="AE18" s="98">
        <f t="shared" si="9"/>
        <v>7748</v>
      </c>
      <c r="AF18" s="94">
        <f>Langstaat!AH22</f>
        <v>6951</v>
      </c>
      <c r="AG18" s="2">
        <f>Langstaat!AI22</f>
        <v>0</v>
      </c>
      <c r="AH18" s="98">
        <f t="shared" si="10"/>
        <v>6951</v>
      </c>
      <c r="AI18" s="94">
        <f>Langstaat!AK22</f>
        <v>7178</v>
      </c>
      <c r="AJ18" s="2">
        <f>Langstaat!AL22</f>
        <v>0</v>
      </c>
      <c r="AK18" s="98">
        <f t="shared" si="11"/>
        <v>7178</v>
      </c>
    </row>
    <row r="19" spans="1:37" x14ac:dyDescent="0.5">
      <c r="A19" s="86" t="s">
        <v>403</v>
      </c>
      <c r="B19" s="94">
        <f>Langstaat!D23</f>
        <v>0</v>
      </c>
      <c r="C19" s="2">
        <f>Langstaat!E23</f>
        <v>0</v>
      </c>
      <c r="D19" s="98">
        <f t="shared" si="0"/>
        <v>0</v>
      </c>
      <c r="E19" s="94">
        <f>Langstaat!G23</f>
        <v>0</v>
      </c>
      <c r="F19" s="2">
        <f>Langstaat!H23</f>
        <v>0</v>
      </c>
      <c r="G19" s="98">
        <f t="shared" si="1"/>
        <v>0</v>
      </c>
      <c r="H19" s="94">
        <f>Langstaat!J23</f>
        <v>0</v>
      </c>
      <c r="I19" s="2">
        <f>Langstaat!K23</f>
        <v>0</v>
      </c>
      <c r="J19" s="98">
        <f t="shared" si="2"/>
        <v>0</v>
      </c>
      <c r="K19" s="94">
        <f>Langstaat!M23</f>
        <v>0</v>
      </c>
      <c r="L19" s="2">
        <f>Langstaat!N23</f>
        <v>0</v>
      </c>
      <c r="M19" s="98">
        <f t="shared" si="3"/>
        <v>0</v>
      </c>
      <c r="N19" s="94">
        <f>Langstaat!P23</f>
        <v>0</v>
      </c>
      <c r="O19" s="2">
        <f>Langstaat!Q23</f>
        <v>0</v>
      </c>
      <c r="P19" s="98">
        <f t="shared" si="4"/>
        <v>0</v>
      </c>
      <c r="Q19" s="94">
        <f>Langstaat!S23</f>
        <v>0</v>
      </c>
      <c r="R19" s="2">
        <f>Langstaat!T23</f>
        <v>0</v>
      </c>
      <c r="S19" s="98">
        <f t="shared" si="5"/>
        <v>0</v>
      </c>
      <c r="T19" s="94">
        <f>Langstaat!V23</f>
        <v>0</v>
      </c>
      <c r="U19" s="2">
        <f>Langstaat!W23</f>
        <v>0</v>
      </c>
      <c r="V19" s="98">
        <f t="shared" si="6"/>
        <v>0</v>
      </c>
      <c r="W19" s="94">
        <f>Langstaat!Y23</f>
        <v>0</v>
      </c>
      <c r="X19" s="2">
        <f>Langstaat!Z23</f>
        <v>0</v>
      </c>
      <c r="Y19" s="98">
        <f t="shared" si="7"/>
        <v>0</v>
      </c>
      <c r="Z19" s="94">
        <f>Langstaat!AB23</f>
        <v>0</v>
      </c>
      <c r="AA19" s="2">
        <f>Langstaat!AC23</f>
        <v>0</v>
      </c>
      <c r="AB19" s="98">
        <f t="shared" si="8"/>
        <v>0</v>
      </c>
      <c r="AC19" s="94">
        <f>Langstaat!AE23</f>
        <v>0</v>
      </c>
      <c r="AD19" s="2">
        <f>Langstaat!AF23</f>
        <v>0</v>
      </c>
      <c r="AE19" s="98">
        <f t="shared" si="9"/>
        <v>0</v>
      </c>
      <c r="AF19" s="94">
        <f>Langstaat!AH23</f>
        <v>0</v>
      </c>
      <c r="AG19" s="2">
        <f>Langstaat!AI23</f>
        <v>0</v>
      </c>
      <c r="AH19" s="98">
        <f t="shared" si="10"/>
        <v>0</v>
      </c>
      <c r="AI19" s="94">
        <f>Langstaat!AK23</f>
        <v>0</v>
      </c>
      <c r="AJ19" s="2">
        <f>Langstaat!AL23</f>
        <v>0</v>
      </c>
      <c r="AK19" s="98">
        <f t="shared" si="11"/>
        <v>0</v>
      </c>
    </row>
    <row r="20" spans="1:37" x14ac:dyDescent="0.5">
      <c r="A20" s="86" t="s">
        <v>404</v>
      </c>
      <c r="B20" s="94">
        <f>Langstaat!D24</f>
        <v>0</v>
      </c>
      <c r="C20" s="2">
        <f>Langstaat!E24</f>
        <v>0</v>
      </c>
      <c r="D20" s="98">
        <f t="shared" si="0"/>
        <v>0</v>
      </c>
      <c r="E20" s="94">
        <f>Langstaat!G24</f>
        <v>0</v>
      </c>
      <c r="F20" s="2">
        <f>Langstaat!H24</f>
        <v>0</v>
      </c>
      <c r="G20" s="98">
        <f t="shared" si="1"/>
        <v>0</v>
      </c>
      <c r="H20" s="94">
        <f>Langstaat!J24</f>
        <v>0</v>
      </c>
      <c r="I20" s="2">
        <f>Langstaat!K24</f>
        <v>0</v>
      </c>
      <c r="J20" s="98">
        <f t="shared" si="2"/>
        <v>0</v>
      </c>
      <c r="K20" s="94">
        <f>Langstaat!M24</f>
        <v>0</v>
      </c>
      <c r="L20" s="2">
        <f>Langstaat!N24</f>
        <v>0</v>
      </c>
      <c r="M20" s="98">
        <f t="shared" si="3"/>
        <v>0</v>
      </c>
      <c r="N20" s="94">
        <f>Langstaat!P24</f>
        <v>0</v>
      </c>
      <c r="O20" s="2">
        <f>Langstaat!Q24</f>
        <v>0</v>
      </c>
      <c r="P20" s="98">
        <f t="shared" si="4"/>
        <v>0</v>
      </c>
      <c r="Q20" s="94">
        <f>Langstaat!S24</f>
        <v>0</v>
      </c>
      <c r="R20" s="2">
        <f>Langstaat!T24</f>
        <v>0</v>
      </c>
      <c r="S20" s="98">
        <f t="shared" si="5"/>
        <v>0</v>
      </c>
      <c r="T20" s="94">
        <f>Langstaat!V24</f>
        <v>0</v>
      </c>
      <c r="U20" s="2">
        <f>Langstaat!W24</f>
        <v>0</v>
      </c>
      <c r="V20" s="98">
        <f t="shared" si="6"/>
        <v>0</v>
      </c>
      <c r="W20" s="94">
        <f>Langstaat!Y24</f>
        <v>0</v>
      </c>
      <c r="X20" s="2">
        <f>Langstaat!Z24</f>
        <v>0</v>
      </c>
      <c r="Y20" s="98">
        <f t="shared" si="7"/>
        <v>0</v>
      </c>
      <c r="Z20" s="94">
        <f>Langstaat!AB24</f>
        <v>0</v>
      </c>
      <c r="AA20" s="2">
        <f>Langstaat!AC24</f>
        <v>0</v>
      </c>
      <c r="AB20" s="98">
        <f t="shared" si="8"/>
        <v>0</v>
      </c>
      <c r="AC20" s="94">
        <f>Langstaat!AE24</f>
        <v>0</v>
      </c>
      <c r="AD20" s="2">
        <f>Langstaat!AF24</f>
        <v>0</v>
      </c>
      <c r="AE20" s="98">
        <f t="shared" si="9"/>
        <v>0</v>
      </c>
      <c r="AF20" s="94">
        <f>Langstaat!AH24</f>
        <v>0</v>
      </c>
      <c r="AG20" s="2">
        <f>Langstaat!AI24</f>
        <v>0</v>
      </c>
      <c r="AH20" s="98">
        <f t="shared" si="10"/>
        <v>0</v>
      </c>
      <c r="AI20" s="94">
        <f>Langstaat!AK24</f>
        <v>0</v>
      </c>
      <c r="AJ20" s="2">
        <f>Langstaat!AL24</f>
        <v>0</v>
      </c>
      <c r="AK20" s="98">
        <f t="shared" si="11"/>
        <v>0</v>
      </c>
    </row>
    <row r="21" spans="1:37" x14ac:dyDescent="0.5">
      <c r="A21" s="86" t="s">
        <v>405</v>
      </c>
      <c r="B21" s="94">
        <f>SUM(B22:B24)</f>
        <v>542</v>
      </c>
      <c r="C21" s="2">
        <f>SUM(C22:C24)</f>
        <v>276</v>
      </c>
      <c r="D21" s="98">
        <f t="shared" si="0"/>
        <v>818</v>
      </c>
      <c r="E21" s="94">
        <f>SUM(E22:E24)</f>
        <v>459</v>
      </c>
      <c r="F21" s="2">
        <f>SUM(F22:F24)</f>
        <v>408</v>
      </c>
      <c r="G21" s="98">
        <f t="shared" si="1"/>
        <v>867</v>
      </c>
      <c r="H21" s="94">
        <f>SUM(H22:H24)</f>
        <v>608</v>
      </c>
      <c r="I21" s="2">
        <f>SUM(I22:I24)</f>
        <v>221</v>
      </c>
      <c r="J21" s="98">
        <f t="shared" si="2"/>
        <v>829</v>
      </c>
      <c r="K21" s="94">
        <f>SUM(K22:K24)</f>
        <v>572</v>
      </c>
      <c r="L21" s="2">
        <f>SUM(L22:L24)</f>
        <v>152</v>
      </c>
      <c r="M21" s="98">
        <f t="shared" si="3"/>
        <v>724</v>
      </c>
      <c r="N21" s="94">
        <f>SUM(N22:N24)</f>
        <v>665</v>
      </c>
      <c r="O21" s="2">
        <f>SUM(O22:O24)</f>
        <v>100</v>
      </c>
      <c r="P21" s="98">
        <f t="shared" si="4"/>
        <v>765</v>
      </c>
      <c r="Q21" s="94">
        <f>SUM(Q22:Q24)</f>
        <v>609</v>
      </c>
      <c r="R21" s="2">
        <f>SUM(R22:R24)</f>
        <v>270</v>
      </c>
      <c r="S21" s="98">
        <f t="shared" si="5"/>
        <v>879</v>
      </c>
      <c r="T21" s="94">
        <f>SUM(T22:T24)</f>
        <v>434</v>
      </c>
      <c r="U21" s="2">
        <f>SUM(U22:U24)</f>
        <v>361</v>
      </c>
      <c r="V21" s="98">
        <f t="shared" si="6"/>
        <v>795</v>
      </c>
      <c r="W21" s="94">
        <f>SUM(W22:W24)</f>
        <v>687</v>
      </c>
      <c r="X21" s="2">
        <f>SUM(X22:X24)</f>
        <v>153</v>
      </c>
      <c r="Y21" s="98">
        <f t="shared" si="7"/>
        <v>840</v>
      </c>
      <c r="Z21" s="94">
        <f>SUM(Z22:Z24)</f>
        <v>1064</v>
      </c>
      <c r="AA21" s="2">
        <f>SUM(AA22:AA24)</f>
        <v>171</v>
      </c>
      <c r="AB21" s="98">
        <f t="shared" si="8"/>
        <v>1235</v>
      </c>
      <c r="AC21" s="94">
        <f>SUM(AC22:AC24)</f>
        <v>410</v>
      </c>
      <c r="AD21" s="2">
        <f>SUM(AD22:AD24)</f>
        <v>135</v>
      </c>
      <c r="AE21" s="98">
        <f t="shared" si="9"/>
        <v>545</v>
      </c>
      <c r="AF21" s="94">
        <f>SUM(AF22:AF24)</f>
        <v>610</v>
      </c>
      <c r="AG21" s="2">
        <f>SUM(AG22:AG24)</f>
        <v>159</v>
      </c>
      <c r="AH21" s="98">
        <f t="shared" si="10"/>
        <v>769</v>
      </c>
      <c r="AI21" s="94">
        <f>SUM(AI22:AI24)</f>
        <v>598</v>
      </c>
      <c r="AJ21" s="2">
        <f>SUM(AJ22:AJ24)</f>
        <v>47</v>
      </c>
      <c r="AK21" s="98">
        <f t="shared" si="11"/>
        <v>645</v>
      </c>
    </row>
    <row r="22" spans="1:37" x14ac:dyDescent="0.5">
      <c r="A22" s="86" t="s">
        <v>406</v>
      </c>
      <c r="B22" s="94">
        <f>Langstaat!D26</f>
        <v>92</v>
      </c>
      <c r="C22" s="2">
        <f>Langstaat!E26</f>
        <v>0</v>
      </c>
      <c r="D22" s="98">
        <f t="shared" si="0"/>
        <v>92</v>
      </c>
      <c r="E22" s="94">
        <f>Langstaat!G26</f>
        <v>59</v>
      </c>
      <c r="F22" s="2">
        <f>Langstaat!H26</f>
        <v>32</v>
      </c>
      <c r="G22" s="98">
        <f t="shared" si="1"/>
        <v>91</v>
      </c>
      <c r="H22" s="94">
        <f>Langstaat!J26</f>
        <v>44</v>
      </c>
      <c r="I22" s="2">
        <f>Langstaat!K26</f>
        <v>32</v>
      </c>
      <c r="J22" s="98">
        <f t="shared" si="2"/>
        <v>76</v>
      </c>
      <c r="K22" s="94">
        <f>Langstaat!M26</f>
        <v>99</v>
      </c>
      <c r="L22" s="2">
        <f>Langstaat!N26</f>
        <v>0</v>
      </c>
      <c r="M22" s="98">
        <f t="shared" si="3"/>
        <v>99</v>
      </c>
      <c r="N22" s="94">
        <f>Langstaat!P26</f>
        <v>88</v>
      </c>
      <c r="O22" s="2">
        <f>Langstaat!Q26</f>
        <v>0</v>
      </c>
      <c r="P22" s="98">
        <f t="shared" si="4"/>
        <v>88</v>
      </c>
      <c r="Q22" s="94">
        <f>Langstaat!S26</f>
        <v>87</v>
      </c>
      <c r="R22" s="2">
        <f>Langstaat!T26</f>
        <v>0</v>
      </c>
      <c r="S22" s="98">
        <f t="shared" si="5"/>
        <v>87</v>
      </c>
      <c r="T22" s="94">
        <f>Langstaat!V26</f>
        <v>83</v>
      </c>
      <c r="U22" s="2">
        <f>Langstaat!W26</f>
        <v>0</v>
      </c>
      <c r="V22" s="98">
        <f t="shared" si="6"/>
        <v>83</v>
      </c>
      <c r="W22" s="94">
        <f>Langstaat!Y26</f>
        <v>103</v>
      </c>
      <c r="X22" s="2">
        <f>Langstaat!Z26</f>
        <v>0</v>
      </c>
      <c r="Y22" s="98">
        <f t="shared" si="7"/>
        <v>103</v>
      </c>
      <c r="Z22" s="94">
        <f>Langstaat!AB26</f>
        <v>72</v>
      </c>
      <c r="AA22" s="2">
        <f>Langstaat!AC26</f>
        <v>0</v>
      </c>
      <c r="AB22" s="98">
        <f t="shared" si="8"/>
        <v>72</v>
      </c>
      <c r="AC22" s="94">
        <f>Langstaat!AE26</f>
        <v>76</v>
      </c>
      <c r="AD22" s="2">
        <f>Langstaat!AF26</f>
        <v>0</v>
      </c>
      <c r="AE22" s="98">
        <f t="shared" si="9"/>
        <v>76</v>
      </c>
      <c r="AF22" s="94">
        <f>Langstaat!AH26</f>
        <v>72</v>
      </c>
      <c r="AG22" s="2">
        <f>Langstaat!AI26</f>
        <v>0</v>
      </c>
      <c r="AH22" s="98">
        <f t="shared" si="10"/>
        <v>72</v>
      </c>
      <c r="AI22" s="94">
        <f>Langstaat!AK26</f>
        <v>62</v>
      </c>
      <c r="AJ22" s="2">
        <f>Langstaat!AL26</f>
        <v>0</v>
      </c>
      <c r="AK22" s="98">
        <f t="shared" si="11"/>
        <v>62</v>
      </c>
    </row>
    <row r="23" spans="1:37" x14ac:dyDescent="0.5">
      <c r="A23" s="86" t="s">
        <v>407</v>
      </c>
      <c r="B23" s="94">
        <f>Langstaat!D27</f>
        <v>244</v>
      </c>
      <c r="C23" s="2">
        <f>Langstaat!E27</f>
        <v>125</v>
      </c>
      <c r="D23" s="98">
        <f t="shared" si="0"/>
        <v>369</v>
      </c>
      <c r="E23" s="94">
        <f>Langstaat!G27</f>
        <v>214</v>
      </c>
      <c r="F23" s="2">
        <f>Langstaat!H27</f>
        <v>116</v>
      </c>
      <c r="G23" s="98">
        <f t="shared" si="1"/>
        <v>330</v>
      </c>
      <c r="H23" s="94">
        <f>Langstaat!J27</f>
        <v>235</v>
      </c>
      <c r="I23" s="2">
        <f>Langstaat!K27</f>
        <v>130</v>
      </c>
      <c r="J23" s="98">
        <f t="shared" si="2"/>
        <v>365</v>
      </c>
      <c r="K23" s="94">
        <f>Langstaat!M27</f>
        <v>203</v>
      </c>
      <c r="L23" s="2">
        <f>Langstaat!N27</f>
        <v>52</v>
      </c>
      <c r="M23" s="98">
        <f t="shared" si="3"/>
        <v>255</v>
      </c>
      <c r="N23" s="94">
        <f>Langstaat!P27</f>
        <v>293</v>
      </c>
      <c r="O23" s="2">
        <f>Langstaat!Q27</f>
        <v>23</v>
      </c>
      <c r="P23" s="98">
        <f t="shared" si="4"/>
        <v>316</v>
      </c>
      <c r="Q23" s="94">
        <f>Langstaat!S27</f>
        <v>258</v>
      </c>
      <c r="R23" s="2">
        <f>Langstaat!T27</f>
        <v>65</v>
      </c>
      <c r="S23" s="98">
        <f t="shared" si="5"/>
        <v>323</v>
      </c>
      <c r="T23" s="94">
        <f>Langstaat!V27</f>
        <v>253</v>
      </c>
      <c r="U23" s="2">
        <f>Langstaat!W27</f>
        <v>34</v>
      </c>
      <c r="V23" s="98">
        <f t="shared" si="6"/>
        <v>287</v>
      </c>
      <c r="W23" s="94">
        <f>Langstaat!Y27</f>
        <v>269</v>
      </c>
      <c r="X23" s="2">
        <f>Langstaat!Z27</f>
        <v>50</v>
      </c>
      <c r="Y23" s="98">
        <f t="shared" si="7"/>
        <v>319</v>
      </c>
      <c r="Z23" s="94">
        <f>Langstaat!AB27</f>
        <v>369</v>
      </c>
      <c r="AA23" s="2">
        <f>Langstaat!AC27</f>
        <v>83</v>
      </c>
      <c r="AB23" s="98">
        <f t="shared" si="8"/>
        <v>452</v>
      </c>
      <c r="AC23" s="94">
        <f>Langstaat!AE27</f>
        <v>254</v>
      </c>
      <c r="AD23" s="2">
        <f>Langstaat!AF27</f>
        <v>34</v>
      </c>
      <c r="AE23" s="98">
        <f t="shared" si="9"/>
        <v>288</v>
      </c>
      <c r="AF23" s="94">
        <f>Langstaat!AH27</f>
        <v>298</v>
      </c>
      <c r="AG23" s="2">
        <f>Langstaat!AI27</f>
        <v>3</v>
      </c>
      <c r="AH23" s="98">
        <f t="shared" si="10"/>
        <v>301</v>
      </c>
      <c r="AI23" s="94">
        <f>Langstaat!AK27</f>
        <v>337</v>
      </c>
      <c r="AJ23" s="2">
        <f>Langstaat!AL27</f>
        <v>45</v>
      </c>
      <c r="AK23" s="98">
        <f t="shared" si="11"/>
        <v>382</v>
      </c>
    </row>
    <row r="24" spans="1:37" x14ac:dyDescent="0.5">
      <c r="A24" s="86" t="s">
        <v>408</v>
      </c>
      <c r="B24" s="94">
        <f>Langstaat!D28</f>
        <v>206</v>
      </c>
      <c r="C24" s="2">
        <f>Langstaat!E28</f>
        <v>151</v>
      </c>
      <c r="D24" s="98">
        <f t="shared" si="0"/>
        <v>357</v>
      </c>
      <c r="E24" s="94">
        <f>Langstaat!G28</f>
        <v>186</v>
      </c>
      <c r="F24" s="2">
        <f>Langstaat!H28</f>
        <v>260</v>
      </c>
      <c r="G24" s="98">
        <f t="shared" si="1"/>
        <v>446</v>
      </c>
      <c r="H24" s="94">
        <f>Langstaat!J28</f>
        <v>329</v>
      </c>
      <c r="I24" s="2">
        <f>Langstaat!K28</f>
        <v>59</v>
      </c>
      <c r="J24" s="98">
        <f t="shared" si="2"/>
        <v>388</v>
      </c>
      <c r="K24" s="94">
        <f>Langstaat!M28</f>
        <v>270</v>
      </c>
      <c r="L24" s="2">
        <f>Langstaat!N28</f>
        <v>100</v>
      </c>
      <c r="M24" s="98">
        <f t="shared" si="3"/>
        <v>370</v>
      </c>
      <c r="N24" s="94">
        <f>Langstaat!P28</f>
        <v>284</v>
      </c>
      <c r="O24" s="2">
        <f>Langstaat!Q28</f>
        <v>77</v>
      </c>
      <c r="P24" s="98">
        <f t="shared" si="4"/>
        <v>361</v>
      </c>
      <c r="Q24" s="94">
        <f>Langstaat!S28</f>
        <v>264</v>
      </c>
      <c r="R24" s="2">
        <f>Langstaat!T28</f>
        <v>205</v>
      </c>
      <c r="S24" s="98">
        <f t="shared" si="5"/>
        <v>469</v>
      </c>
      <c r="T24" s="94">
        <f>Langstaat!V28</f>
        <v>98</v>
      </c>
      <c r="U24" s="2">
        <f>Langstaat!W28</f>
        <v>327</v>
      </c>
      <c r="V24" s="98">
        <f t="shared" si="6"/>
        <v>425</v>
      </c>
      <c r="W24" s="94">
        <f>Langstaat!Y28</f>
        <v>315</v>
      </c>
      <c r="X24" s="2">
        <f>Langstaat!Z28</f>
        <v>103</v>
      </c>
      <c r="Y24" s="98">
        <f t="shared" si="7"/>
        <v>418</v>
      </c>
      <c r="Z24" s="94">
        <f>Langstaat!AB28</f>
        <v>623</v>
      </c>
      <c r="AA24" s="2">
        <f>Langstaat!AC28</f>
        <v>88</v>
      </c>
      <c r="AB24" s="98">
        <f t="shared" si="8"/>
        <v>711</v>
      </c>
      <c r="AC24" s="94">
        <f>Langstaat!AE28</f>
        <v>80</v>
      </c>
      <c r="AD24" s="2">
        <f>Langstaat!AF28</f>
        <v>101</v>
      </c>
      <c r="AE24" s="98">
        <f t="shared" si="9"/>
        <v>181</v>
      </c>
      <c r="AF24" s="94">
        <f>Langstaat!AH28</f>
        <v>240</v>
      </c>
      <c r="AG24" s="2">
        <f>Langstaat!AI28</f>
        <v>156</v>
      </c>
      <c r="AH24" s="98">
        <f t="shared" si="10"/>
        <v>396</v>
      </c>
      <c r="AI24" s="94">
        <f>Langstaat!AK28</f>
        <v>199</v>
      </c>
      <c r="AJ24" s="2">
        <f>Langstaat!AL28</f>
        <v>2</v>
      </c>
      <c r="AK24" s="98">
        <f t="shared" si="11"/>
        <v>201</v>
      </c>
    </row>
    <row r="25" spans="1:37" x14ac:dyDescent="0.5">
      <c r="A25" s="86" t="s">
        <v>134</v>
      </c>
      <c r="B25" s="94">
        <f>Langstaat!D29</f>
        <v>0</v>
      </c>
      <c r="C25" s="2">
        <f>Langstaat!E29</f>
        <v>0</v>
      </c>
      <c r="D25" s="98">
        <f t="shared" si="0"/>
        <v>0</v>
      </c>
      <c r="E25" s="94">
        <f>Langstaat!G29</f>
        <v>0</v>
      </c>
      <c r="F25" s="2">
        <f>Langstaat!H29</f>
        <v>0</v>
      </c>
      <c r="G25" s="98">
        <f t="shared" si="1"/>
        <v>0</v>
      </c>
      <c r="H25" s="94">
        <f>Langstaat!J29</f>
        <v>0</v>
      </c>
      <c r="I25" s="2">
        <f>Langstaat!K29</f>
        <v>0</v>
      </c>
      <c r="J25" s="98">
        <f t="shared" si="2"/>
        <v>0</v>
      </c>
      <c r="K25" s="94">
        <f>Langstaat!M29</f>
        <v>0</v>
      </c>
      <c r="L25" s="2">
        <f>Langstaat!N29</f>
        <v>0</v>
      </c>
      <c r="M25" s="98">
        <f t="shared" si="3"/>
        <v>0</v>
      </c>
      <c r="N25" s="94">
        <f>Langstaat!P29</f>
        <v>0</v>
      </c>
      <c r="O25" s="2">
        <f>Langstaat!Q29</f>
        <v>0</v>
      </c>
      <c r="P25" s="98">
        <f t="shared" si="4"/>
        <v>0</v>
      </c>
      <c r="Q25" s="94">
        <f>Langstaat!S29</f>
        <v>0</v>
      </c>
      <c r="R25" s="2">
        <f>Langstaat!T29</f>
        <v>0</v>
      </c>
      <c r="S25" s="98">
        <f t="shared" si="5"/>
        <v>0</v>
      </c>
      <c r="T25" s="94">
        <f>Langstaat!V29</f>
        <v>0</v>
      </c>
      <c r="U25" s="2">
        <f>Langstaat!W29</f>
        <v>0</v>
      </c>
      <c r="V25" s="98">
        <f t="shared" si="6"/>
        <v>0</v>
      </c>
      <c r="W25" s="94">
        <f>Langstaat!Y29</f>
        <v>0</v>
      </c>
      <c r="X25" s="2">
        <f>Langstaat!Z29</f>
        <v>0</v>
      </c>
      <c r="Y25" s="98">
        <f t="shared" si="7"/>
        <v>0</v>
      </c>
      <c r="Z25" s="94">
        <f>Langstaat!AB29</f>
        <v>0</v>
      </c>
      <c r="AA25" s="2">
        <f>Langstaat!AC29</f>
        <v>0</v>
      </c>
      <c r="AB25" s="98">
        <f t="shared" si="8"/>
        <v>0</v>
      </c>
      <c r="AC25" s="94">
        <f>Langstaat!AE29</f>
        <v>0</v>
      </c>
      <c r="AD25" s="2">
        <f>Langstaat!AF29</f>
        <v>0</v>
      </c>
      <c r="AE25" s="98">
        <f t="shared" si="9"/>
        <v>0</v>
      </c>
      <c r="AF25" s="94">
        <f>Langstaat!AH29</f>
        <v>0</v>
      </c>
      <c r="AG25" s="2">
        <f>Langstaat!AI29</f>
        <v>0</v>
      </c>
      <c r="AH25" s="98">
        <f t="shared" si="10"/>
        <v>0</v>
      </c>
      <c r="AI25" s="94">
        <f>Langstaat!AK29</f>
        <v>0</v>
      </c>
      <c r="AJ25" s="2">
        <f>Langstaat!AL29</f>
        <v>0</v>
      </c>
      <c r="AK25" s="98">
        <f t="shared" si="11"/>
        <v>0</v>
      </c>
    </row>
    <row r="26" spans="1:37" x14ac:dyDescent="0.5">
      <c r="A26" s="86" t="s">
        <v>136</v>
      </c>
      <c r="B26" s="94">
        <f>Langstaat!D30</f>
        <v>67</v>
      </c>
      <c r="C26" s="2">
        <f>Langstaat!E30</f>
        <v>20</v>
      </c>
      <c r="D26" s="98">
        <f t="shared" si="0"/>
        <v>87</v>
      </c>
      <c r="E26" s="94">
        <f>Langstaat!G30</f>
        <v>5</v>
      </c>
      <c r="F26" s="2">
        <f>Langstaat!H30</f>
        <v>0</v>
      </c>
      <c r="G26" s="98">
        <f t="shared" si="1"/>
        <v>5</v>
      </c>
      <c r="H26" s="94">
        <f>Langstaat!J30</f>
        <v>0</v>
      </c>
      <c r="I26" s="2">
        <f>Langstaat!K30</f>
        <v>0</v>
      </c>
      <c r="J26" s="98">
        <f t="shared" si="2"/>
        <v>0</v>
      </c>
      <c r="K26" s="94">
        <f>Langstaat!M30</f>
        <v>0</v>
      </c>
      <c r="L26" s="2">
        <f>Langstaat!N30</f>
        <v>108</v>
      </c>
      <c r="M26" s="98">
        <f t="shared" si="3"/>
        <v>108</v>
      </c>
      <c r="N26" s="94">
        <f>Langstaat!P30</f>
        <v>0</v>
      </c>
      <c r="O26" s="2">
        <f>Langstaat!Q30</f>
        <v>131</v>
      </c>
      <c r="P26" s="98">
        <f t="shared" si="4"/>
        <v>131</v>
      </c>
      <c r="Q26" s="94">
        <f>Langstaat!S30</f>
        <v>0</v>
      </c>
      <c r="R26" s="2">
        <f>Langstaat!T30</f>
        <v>172</v>
      </c>
      <c r="S26" s="98">
        <f t="shared" si="5"/>
        <v>172</v>
      </c>
      <c r="T26" s="94">
        <f>Langstaat!V30</f>
        <v>0</v>
      </c>
      <c r="U26" s="2">
        <f>Langstaat!W30</f>
        <v>0</v>
      </c>
      <c r="V26" s="98">
        <f t="shared" si="6"/>
        <v>0</v>
      </c>
      <c r="W26" s="94">
        <f>Langstaat!Y30</f>
        <v>0</v>
      </c>
      <c r="X26" s="2">
        <f>Langstaat!Z30</f>
        <v>32</v>
      </c>
      <c r="Y26" s="98">
        <f t="shared" si="7"/>
        <v>32</v>
      </c>
      <c r="Z26" s="94">
        <f>Langstaat!AB30</f>
        <v>0</v>
      </c>
      <c r="AA26" s="2">
        <f>Langstaat!AC30</f>
        <v>0</v>
      </c>
      <c r="AB26" s="98">
        <f t="shared" si="8"/>
        <v>0</v>
      </c>
      <c r="AC26" s="94">
        <f>Langstaat!AE30</f>
        <v>77</v>
      </c>
      <c r="AD26" s="2">
        <f>Langstaat!AF30</f>
        <v>0</v>
      </c>
      <c r="AE26" s="98">
        <f t="shared" si="9"/>
        <v>77</v>
      </c>
      <c r="AF26" s="94">
        <f>Langstaat!AH30</f>
        <v>32</v>
      </c>
      <c r="AG26" s="2">
        <f>Langstaat!AI30</f>
        <v>0</v>
      </c>
      <c r="AH26" s="98">
        <f t="shared" si="10"/>
        <v>32</v>
      </c>
      <c r="AI26" s="94">
        <f>Langstaat!AK30</f>
        <v>0</v>
      </c>
      <c r="AJ26" s="2">
        <f>Langstaat!AL30</f>
        <v>0</v>
      </c>
      <c r="AK26" s="98">
        <f t="shared" si="11"/>
        <v>0</v>
      </c>
    </row>
    <row r="27" spans="1:37" x14ac:dyDescent="0.5">
      <c r="A27" s="86" t="s">
        <v>409</v>
      </c>
      <c r="B27" s="94">
        <f>Langstaat!D31</f>
        <v>207</v>
      </c>
      <c r="C27" s="2">
        <f>Langstaat!E31</f>
        <v>1</v>
      </c>
      <c r="D27" s="98">
        <f t="shared" si="0"/>
        <v>208</v>
      </c>
      <c r="E27" s="94">
        <f>Langstaat!G31</f>
        <v>174</v>
      </c>
      <c r="F27" s="2">
        <f>Langstaat!H31</f>
        <v>11</v>
      </c>
      <c r="G27" s="98">
        <f t="shared" si="1"/>
        <v>185</v>
      </c>
      <c r="H27" s="94">
        <f>Langstaat!J31</f>
        <v>148</v>
      </c>
      <c r="I27" s="2">
        <f>Langstaat!K31</f>
        <v>0</v>
      </c>
      <c r="J27" s="98">
        <f t="shared" si="2"/>
        <v>148</v>
      </c>
      <c r="K27" s="94">
        <f>Langstaat!M31</f>
        <v>96</v>
      </c>
      <c r="L27" s="2">
        <f>Langstaat!N31</f>
        <v>3</v>
      </c>
      <c r="M27" s="98">
        <f t="shared" si="3"/>
        <v>99</v>
      </c>
      <c r="N27" s="94">
        <f>Langstaat!P31</f>
        <v>96</v>
      </c>
      <c r="O27" s="2">
        <f>Langstaat!Q31</f>
        <v>26</v>
      </c>
      <c r="P27" s="98">
        <f t="shared" si="4"/>
        <v>122</v>
      </c>
      <c r="Q27" s="94">
        <f>Langstaat!S31</f>
        <v>54</v>
      </c>
      <c r="R27" s="2">
        <f>Langstaat!T31</f>
        <v>0</v>
      </c>
      <c r="S27" s="98">
        <f t="shared" si="5"/>
        <v>54</v>
      </c>
      <c r="T27" s="94">
        <f>Langstaat!V31</f>
        <v>39</v>
      </c>
      <c r="U27" s="2">
        <f>Langstaat!W31</f>
        <v>0</v>
      </c>
      <c r="V27" s="98">
        <f t="shared" si="6"/>
        <v>39</v>
      </c>
      <c r="W27" s="94">
        <f>Langstaat!Y31</f>
        <v>55</v>
      </c>
      <c r="X27" s="2">
        <f>Langstaat!Z31</f>
        <v>4</v>
      </c>
      <c r="Y27" s="98">
        <f t="shared" si="7"/>
        <v>59</v>
      </c>
      <c r="Z27" s="94">
        <f>Langstaat!AB31</f>
        <v>96</v>
      </c>
      <c r="AA27" s="2">
        <f>Langstaat!AC31</f>
        <v>3</v>
      </c>
      <c r="AB27" s="98">
        <f t="shared" si="8"/>
        <v>99</v>
      </c>
      <c r="AC27" s="94">
        <f>Langstaat!AE31</f>
        <v>79</v>
      </c>
      <c r="AD27" s="2">
        <f>Langstaat!AF31</f>
        <v>0</v>
      </c>
      <c r="AE27" s="98">
        <f t="shared" si="9"/>
        <v>79</v>
      </c>
      <c r="AF27" s="94">
        <f>Langstaat!AH31</f>
        <v>45</v>
      </c>
      <c r="AG27" s="2">
        <f>Langstaat!AI31</f>
        <v>0</v>
      </c>
      <c r="AH27" s="98">
        <f t="shared" si="10"/>
        <v>45</v>
      </c>
      <c r="AI27" s="94">
        <f>Langstaat!AK31</f>
        <v>72</v>
      </c>
      <c r="AJ27" s="2">
        <f>Langstaat!AL31</f>
        <v>0</v>
      </c>
      <c r="AK27" s="98">
        <f t="shared" si="11"/>
        <v>72</v>
      </c>
    </row>
    <row r="28" spans="1:37" x14ac:dyDescent="0.5">
      <c r="A28" s="86" t="s">
        <v>156</v>
      </c>
      <c r="B28" s="94">
        <f>Langstaat!D42</f>
        <v>112</v>
      </c>
      <c r="C28" s="2">
        <f>Langstaat!E42</f>
        <v>-57</v>
      </c>
      <c r="D28" s="98">
        <f t="shared" si="0"/>
        <v>55</v>
      </c>
      <c r="E28" s="94">
        <f>Langstaat!G42</f>
        <v>52</v>
      </c>
      <c r="F28" s="2">
        <f>Langstaat!H42</f>
        <v>11</v>
      </c>
      <c r="G28" s="98">
        <f t="shared" si="1"/>
        <v>63</v>
      </c>
      <c r="H28" s="94">
        <f>Langstaat!J42</f>
        <v>193</v>
      </c>
      <c r="I28" s="2">
        <f>Langstaat!K42</f>
        <v>76</v>
      </c>
      <c r="J28" s="98">
        <f t="shared" si="2"/>
        <v>269</v>
      </c>
      <c r="K28" s="94">
        <f>Langstaat!M42</f>
        <v>251</v>
      </c>
      <c r="L28" s="2">
        <f>Langstaat!N42</f>
        <v>50</v>
      </c>
      <c r="M28" s="98">
        <f t="shared" si="3"/>
        <v>301</v>
      </c>
      <c r="N28" s="94">
        <f>Langstaat!P42</f>
        <v>63</v>
      </c>
      <c r="O28" s="2">
        <f>Langstaat!Q42</f>
        <v>-201</v>
      </c>
      <c r="P28" s="98">
        <f t="shared" si="4"/>
        <v>-138</v>
      </c>
      <c r="Q28" s="94">
        <f>Langstaat!S42</f>
        <v>57</v>
      </c>
      <c r="R28" s="2">
        <f>Langstaat!T42</f>
        <v>14</v>
      </c>
      <c r="S28" s="98">
        <f t="shared" si="5"/>
        <v>71</v>
      </c>
      <c r="T28" s="94">
        <f>Langstaat!V42</f>
        <v>-107</v>
      </c>
      <c r="U28" s="2">
        <f>Langstaat!W42</f>
        <v>49</v>
      </c>
      <c r="V28" s="98">
        <f t="shared" si="6"/>
        <v>-58</v>
      </c>
      <c r="W28" s="94">
        <f>Langstaat!Y42</f>
        <v>322</v>
      </c>
      <c r="X28" s="2">
        <f>Langstaat!Z42</f>
        <v>74</v>
      </c>
      <c r="Y28" s="98">
        <f t="shared" si="7"/>
        <v>396</v>
      </c>
      <c r="Z28" s="94">
        <f>Langstaat!AB42</f>
        <v>-14</v>
      </c>
      <c r="AA28" s="2">
        <f>Langstaat!AC42</f>
        <v>43</v>
      </c>
      <c r="AB28" s="98">
        <f t="shared" si="8"/>
        <v>29</v>
      </c>
      <c r="AC28" s="94">
        <f>Langstaat!AE42</f>
        <v>253</v>
      </c>
      <c r="AD28" s="2">
        <f>Langstaat!AF42</f>
        <v>-89</v>
      </c>
      <c r="AE28" s="98">
        <f t="shared" si="9"/>
        <v>164</v>
      </c>
      <c r="AF28" s="94">
        <f>Langstaat!AH42</f>
        <v>234</v>
      </c>
      <c r="AG28" s="2">
        <f>Langstaat!AI42</f>
        <v>-215</v>
      </c>
      <c r="AH28" s="98">
        <f t="shared" si="10"/>
        <v>19</v>
      </c>
      <c r="AI28" s="94">
        <f>Langstaat!AK42</f>
        <v>-125</v>
      </c>
      <c r="AJ28" s="2">
        <f>Langstaat!AL42</f>
        <v>55</v>
      </c>
      <c r="AK28" s="98">
        <f t="shared" si="11"/>
        <v>-70</v>
      </c>
    </row>
    <row r="29" spans="1:37" x14ac:dyDescent="0.5">
      <c r="A29" s="86" t="s">
        <v>28</v>
      </c>
      <c r="B29" s="94">
        <f>IF(Langstaat!D43&gt;0,Langstaat!D43,0)</f>
        <v>247</v>
      </c>
      <c r="C29" s="2">
        <f>IF(Langstaat!E43&gt;0,Langstaat!E43,0)</f>
        <v>0</v>
      </c>
      <c r="D29" s="98">
        <f t="shared" si="0"/>
        <v>247</v>
      </c>
      <c r="E29" s="94">
        <f>IF(Langstaat!G43&gt;0,Langstaat!G43,0)</f>
        <v>3497</v>
      </c>
      <c r="F29" s="2">
        <f>IF(Langstaat!H43&gt;0,Langstaat!H43,0)</f>
        <v>0</v>
      </c>
      <c r="G29" s="98">
        <f t="shared" si="1"/>
        <v>3497</v>
      </c>
      <c r="H29" s="94">
        <f>IF(Langstaat!J43&gt;0,Langstaat!J43,0)</f>
        <v>0</v>
      </c>
      <c r="I29" s="2">
        <f>IF(Langstaat!K43&gt;0,Langstaat!K43,0)</f>
        <v>1802</v>
      </c>
      <c r="J29" s="98">
        <f t="shared" si="2"/>
        <v>1802</v>
      </c>
      <c r="K29" s="94">
        <f>IF(Langstaat!M43&gt;0,Langstaat!M43,0)</f>
        <v>550</v>
      </c>
      <c r="L29" s="2">
        <f>IF(Langstaat!N43&gt;0,Langstaat!N43,0)</f>
        <v>74</v>
      </c>
      <c r="M29" s="98">
        <f t="shared" si="3"/>
        <v>624</v>
      </c>
      <c r="N29" s="94">
        <f>IF(Langstaat!P43&gt;0,Langstaat!P43,0)</f>
        <v>0</v>
      </c>
      <c r="O29" s="2">
        <f>IF(Langstaat!Q43&gt;0,Langstaat!Q43,0)</f>
        <v>0</v>
      </c>
      <c r="P29" s="98">
        <f t="shared" si="4"/>
        <v>0</v>
      </c>
      <c r="Q29" s="94">
        <f>IF(Langstaat!S43&gt;0,Langstaat!S43,0)</f>
        <v>815</v>
      </c>
      <c r="R29" s="2">
        <f>IF(Langstaat!T43&gt;0,Langstaat!T43,0)</f>
        <v>47</v>
      </c>
      <c r="S29" s="98">
        <f t="shared" si="5"/>
        <v>862</v>
      </c>
      <c r="T29" s="94">
        <f>IF(Langstaat!V43&gt;0,Langstaat!V43,0)</f>
        <v>0</v>
      </c>
      <c r="U29" s="2">
        <f>IF(Langstaat!W43&gt;0,Langstaat!W43,0)</f>
        <v>0</v>
      </c>
      <c r="V29" s="98">
        <f t="shared" si="6"/>
        <v>0</v>
      </c>
      <c r="W29" s="94">
        <f>IF(Langstaat!Y43&gt;0,Langstaat!Y43,0)</f>
        <v>62</v>
      </c>
      <c r="X29" s="2">
        <f>IF(Langstaat!Z43&gt;0,Langstaat!Z43,0)</f>
        <v>0</v>
      </c>
      <c r="Y29" s="98">
        <f t="shared" si="7"/>
        <v>62</v>
      </c>
      <c r="Z29" s="94">
        <f>IF(Langstaat!AB43&gt;0,Langstaat!AB43,0)</f>
        <v>0</v>
      </c>
      <c r="AA29" s="2">
        <f>IF(Langstaat!AC43&gt;0,Langstaat!AC43,0)</f>
        <v>0</v>
      </c>
      <c r="AB29" s="98">
        <f t="shared" si="8"/>
        <v>0</v>
      </c>
      <c r="AC29" s="94">
        <f>IF(Langstaat!AE43&gt;0,Langstaat!AE43,0)</f>
        <v>0</v>
      </c>
      <c r="AD29" s="2">
        <f>IF(Langstaat!AF43&gt;0,Langstaat!AF43,0)</f>
        <v>0</v>
      </c>
      <c r="AE29" s="98">
        <f t="shared" si="9"/>
        <v>0</v>
      </c>
      <c r="AF29" s="94">
        <f>IF(Langstaat!AH43&gt;0,Langstaat!AH43,0)</f>
        <v>2099</v>
      </c>
      <c r="AG29" s="2">
        <f>IF(Langstaat!AI43&gt;0,Langstaat!AI43,0)</f>
        <v>0</v>
      </c>
      <c r="AH29" s="98">
        <f t="shared" si="10"/>
        <v>2099</v>
      </c>
      <c r="AI29" s="94">
        <f>IF(Langstaat!AK43&gt;0,Langstaat!AK43,0)</f>
        <v>380</v>
      </c>
      <c r="AJ29" s="2">
        <f>IF(Langstaat!AL43&gt;0,Langstaat!AL43,0)</f>
        <v>0</v>
      </c>
      <c r="AK29" s="98">
        <f t="shared" si="11"/>
        <v>380</v>
      </c>
    </row>
    <row r="30" spans="1:37" x14ac:dyDescent="0.5">
      <c r="A30" s="85" t="s">
        <v>410</v>
      </c>
      <c r="B30" s="93">
        <f>B14+SUM(B25:B29)</f>
        <v>10199</v>
      </c>
      <c r="C30" s="3">
        <f>C14+SUM(C25:C29)</f>
        <v>3236</v>
      </c>
      <c r="D30" s="97">
        <f t="shared" si="0"/>
        <v>13435</v>
      </c>
      <c r="E30" s="93">
        <f>E14+SUM(E25:E29)</f>
        <v>13599</v>
      </c>
      <c r="F30" s="3">
        <f>F14+SUM(F25:F29)</f>
        <v>3652</v>
      </c>
      <c r="G30" s="97">
        <f t="shared" si="1"/>
        <v>17251</v>
      </c>
      <c r="H30" s="93">
        <f>H14+SUM(H25:H29)</f>
        <v>13311</v>
      </c>
      <c r="I30" s="3">
        <f>I14+SUM(I25:I29)</f>
        <v>3752</v>
      </c>
      <c r="J30" s="97">
        <f t="shared" si="2"/>
        <v>17063</v>
      </c>
      <c r="K30" s="93">
        <f>K14+SUM(K25:K29)</f>
        <v>12296</v>
      </c>
      <c r="L30" s="3">
        <f>L14+SUM(L25:L29)</f>
        <v>5291</v>
      </c>
      <c r="M30" s="97">
        <f t="shared" si="3"/>
        <v>17587</v>
      </c>
      <c r="N30" s="93">
        <f>N14+SUM(N25:N29)</f>
        <v>9831</v>
      </c>
      <c r="O30" s="3">
        <f>O14+SUM(O25:O29)</f>
        <v>3550</v>
      </c>
      <c r="P30" s="97">
        <f t="shared" si="4"/>
        <v>13381</v>
      </c>
      <c r="Q30" s="93">
        <f>Q14+SUM(Q25:Q29)</f>
        <v>13096</v>
      </c>
      <c r="R30" s="3">
        <f>R14+SUM(R25:R29)</f>
        <v>2972</v>
      </c>
      <c r="S30" s="97">
        <f t="shared" si="5"/>
        <v>16068</v>
      </c>
      <c r="T30" s="93">
        <f>T14+SUM(T25:T29)</f>
        <v>12750</v>
      </c>
      <c r="U30" s="3">
        <f>U14+SUM(U25:U29)</f>
        <v>1768</v>
      </c>
      <c r="V30" s="97">
        <f t="shared" si="6"/>
        <v>14518</v>
      </c>
      <c r="W30" s="93">
        <f>W14+SUM(W25:W29)</f>
        <v>13588</v>
      </c>
      <c r="X30" s="3">
        <f>X14+SUM(X25:X29)</f>
        <v>2087</v>
      </c>
      <c r="Y30" s="97">
        <f t="shared" si="7"/>
        <v>15675</v>
      </c>
      <c r="Z30" s="93">
        <f>Z14+SUM(Z25:Z29)</f>
        <v>14325</v>
      </c>
      <c r="AA30" s="3">
        <f>AA14+SUM(AA25:AA29)</f>
        <v>2224</v>
      </c>
      <c r="AB30" s="97">
        <f t="shared" si="8"/>
        <v>16549</v>
      </c>
      <c r="AC30" s="93">
        <f>AC14+SUM(AC25:AC29)</f>
        <v>9909</v>
      </c>
      <c r="AD30" s="3">
        <f>AD14+SUM(AD25:AD29)</f>
        <v>3039</v>
      </c>
      <c r="AE30" s="97">
        <f t="shared" si="9"/>
        <v>12948</v>
      </c>
      <c r="AF30" s="93">
        <f>AF14+SUM(AF25:AF29)</f>
        <v>11661</v>
      </c>
      <c r="AG30" s="3">
        <f>AG14+SUM(AG25:AG29)</f>
        <v>3666</v>
      </c>
      <c r="AH30" s="97">
        <f t="shared" si="10"/>
        <v>15327</v>
      </c>
      <c r="AI30" s="93">
        <f>AI14+SUM(AI25:AI29)</f>
        <v>12471</v>
      </c>
      <c r="AJ30" s="3">
        <f>AJ14+SUM(AJ25:AJ29)</f>
        <v>569</v>
      </c>
      <c r="AK30" s="97">
        <f t="shared" si="11"/>
        <v>13040</v>
      </c>
    </row>
    <row r="31" spans="1:37" x14ac:dyDescent="0.5">
      <c r="A31" s="86"/>
      <c r="B31" s="94"/>
      <c r="C31" s="2"/>
      <c r="D31" s="98"/>
      <c r="E31" s="94"/>
      <c r="F31" s="2"/>
      <c r="G31" s="98"/>
      <c r="H31" s="94"/>
      <c r="I31" s="2"/>
      <c r="J31" s="98"/>
      <c r="K31" s="94"/>
      <c r="L31" s="2"/>
      <c r="M31" s="98"/>
      <c r="N31" s="94"/>
      <c r="O31" s="2"/>
      <c r="P31" s="98"/>
      <c r="Q31" s="94"/>
      <c r="R31" s="2"/>
      <c r="S31" s="98"/>
      <c r="T31" s="94"/>
      <c r="U31" s="2"/>
      <c r="V31" s="98"/>
      <c r="W31" s="94"/>
      <c r="X31" s="2"/>
      <c r="Y31" s="98"/>
      <c r="Z31" s="94"/>
      <c r="AA31" s="2"/>
      <c r="AB31" s="98"/>
      <c r="AC31" s="94"/>
      <c r="AD31" s="2"/>
      <c r="AE31" s="98"/>
      <c r="AF31" s="94"/>
      <c r="AG31" s="2"/>
      <c r="AH31" s="98"/>
      <c r="AI31" s="94"/>
      <c r="AJ31" s="2"/>
      <c r="AK31" s="98"/>
    </row>
    <row r="32" spans="1:37" x14ac:dyDescent="0.5">
      <c r="A32" s="85" t="s">
        <v>411</v>
      </c>
      <c r="B32" s="93">
        <f>B33+B36</f>
        <v>1147</v>
      </c>
      <c r="C32" s="3">
        <f>C33+C36</f>
        <v>1179</v>
      </c>
      <c r="D32" s="97">
        <f t="shared" ref="D32:D39" si="12">B32+C32</f>
        <v>2326</v>
      </c>
      <c r="E32" s="93">
        <f>E33+E36</f>
        <v>2018</v>
      </c>
      <c r="F32" s="3">
        <f>F33+F36</f>
        <v>362</v>
      </c>
      <c r="G32" s="97">
        <f t="shared" ref="G32:G39" si="13">E32+F32</f>
        <v>2380</v>
      </c>
      <c r="H32" s="93">
        <f>H33+H36</f>
        <v>699</v>
      </c>
      <c r="I32" s="3">
        <f>I33+I36</f>
        <v>404</v>
      </c>
      <c r="J32" s="97">
        <f t="shared" ref="J32:J39" si="14">H32+I32</f>
        <v>1103</v>
      </c>
      <c r="K32" s="93">
        <f>K33+K36</f>
        <v>729</v>
      </c>
      <c r="L32" s="3">
        <f>L33+L36</f>
        <v>414</v>
      </c>
      <c r="M32" s="97">
        <f t="shared" ref="M32:M39" si="15">K32+L32</f>
        <v>1143</v>
      </c>
      <c r="N32" s="93">
        <f>N33+N36</f>
        <v>96</v>
      </c>
      <c r="O32" s="3">
        <f>O33+O36</f>
        <v>415</v>
      </c>
      <c r="P32" s="97">
        <f t="shared" ref="P32:P39" si="16">N32+O32</f>
        <v>511</v>
      </c>
      <c r="Q32" s="93">
        <f>Q33+Q36</f>
        <v>802</v>
      </c>
      <c r="R32" s="3">
        <f>R33+R36</f>
        <v>373</v>
      </c>
      <c r="S32" s="97">
        <f t="shared" ref="S32:S39" si="17">Q32+R32</f>
        <v>1175</v>
      </c>
      <c r="T32" s="93">
        <f>T33+T36</f>
        <v>974</v>
      </c>
      <c r="U32" s="3">
        <f>U33+U36</f>
        <v>626</v>
      </c>
      <c r="V32" s="97">
        <f t="shared" ref="V32:V39" si="18">T32+U32</f>
        <v>1600</v>
      </c>
      <c r="W32" s="93">
        <f>W33+W36</f>
        <v>350</v>
      </c>
      <c r="X32" s="3">
        <f>X33+X36</f>
        <v>307</v>
      </c>
      <c r="Y32" s="97">
        <f t="shared" ref="Y32:Y39" si="19">W32+X32</f>
        <v>657</v>
      </c>
      <c r="Z32" s="93">
        <f>Z33+Z36</f>
        <v>575</v>
      </c>
      <c r="AA32" s="3">
        <f>AA33+AA36</f>
        <v>0</v>
      </c>
      <c r="AB32" s="97">
        <f t="shared" ref="AB32:AB39" si="20">Z32+AA32</f>
        <v>575</v>
      </c>
      <c r="AC32" s="93">
        <f>AC33+AC36</f>
        <v>421</v>
      </c>
      <c r="AD32" s="3">
        <f>AD33+AD36</f>
        <v>0</v>
      </c>
      <c r="AE32" s="97">
        <f t="shared" ref="AE32:AE39" si="21">AC32+AD32</f>
        <v>421</v>
      </c>
      <c r="AF32" s="93">
        <f>AF33+AF36</f>
        <v>337</v>
      </c>
      <c r="AG32" s="3">
        <f>AG33+AG36</f>
        <v>0</v>
      </c>
      <c r="AH32" s="97">
        <f t="shared" ref="AH32:AH39" si="22">AF32+AG32</f>
        <v>337</v>
      </c>
      <c r="AI32" s="93">
        <f>AI33+AI36</f>
        <v>221</v>
      </c>
      <c r="AJ32" s="3">
        <f>AJ33+AJ36</f>
        <v>200</v>
      </c>
      <c r="AK32" s="97">
        <f t="shared" ref="AK32:AK39" si="23">AI32+AJ32</f>
        <v>421</v>
      </c>
    </row>
    <row r="33" spans="1:37" x14ac:dyDescent="0.5">
      <c r="A33" s="86" t="s">
        <v>412</v>
      </c>
      <c r="B33" s="94">
        <f>SUM(B34:B35)</f>
        <v>0</v>
      </c>
      <c r="C33" s="2">
        <f>SUM(C34:C35)</f>
        <v>344</v>
      </c>
      <c r="D33" s="98">
        <f t="shared" si="12"/>
        <v>344</v>
      </c>
      <c r="E33" s="94">
        <f>SUM(E34:E35)</f>
        <v>23</v>
      </c>
      <c r="F33" s="2">
        <f>SUM(F34:F35)</f>
        <v>362</v>
      </c>
      <c r="G33" s="98">
        <f t="shared" si="13"/>
        <v>385</v>
      </c>
      <c r="H33" s="94">
        <f>SUM(H34:H35)</f>
        <v>0</v>
      </c>
      <c r="I33" s="2">
        <f>SUM(I34:I35)</f>
        <v>404</v>
      </c>
      <c r="J33" s="98">
        <f t="shared" si="14"/>
        <v>404</v>
      </c>
      <c r="K33" s="94">
        <f>SUM(K34:K35)</f>
        <v>108</v>
      </c>
      <c r="L33" s="2">
        <f>SUM(L34:L35)</f>
        <v>414</v>
      </c>
      <c r="M33" s="98">
        <f t="shared" si="15"/>
        <v>522</v>
      </c>
      <c r="N33" s="94">
        <f>SUM(N34:N35)</f>
        <v>60</v>
      </c>
      <c r="O33" s="2">
        <f>SUM(O34:O35)</f>
        <v>415</v>
      </c>
      <c r="P33" s="98">
        <f t="shared" si="16"/>
        <v>475</v>
      </c>
      <c r="Q33" s="94">
        <f>SUM(Q34:Q35)</f>
        <v>77</v>
      </c>
      <c r="R33" s="2">
        <f>SUM(R34:R35)</f>
        <v>373</v>
      </c>
      <c r="S33" s="98">
        <f t="shared" si="17"/>
        <v>450</v>
      </c>
      <c r="T33" s="94">
        <f>SUM(T34:T35)</f>
        <v>135</v>
      </c>
      <c r="U33" s="2">
        <f>SUM(U34:U35)</f>
        <v>401</v>
      </c>
      <c r="V33" s="98">
        <f t="shared" si="18"/>
        <v>536</v>
      </c>
      <c r="W33" s="94">
        <f>SUM(W34:W35)</f>
        <v>335</v>
      </c>
      <c r="X33" s="2">
        <f>SUM(X34:X35)</f>
        <v>153</v>
      </c>
      <c r="Y33" s="98">
        <f t="shared" si="19"/>
        <v>488</v>
      </c>
      <c r="Z33" s="94">
        <f>SUM(Z34:Z35)</f>
        <v>572</v>
      </c>
      <c r="AA33" s="2">
        <f>SUM(AA34:AA35)</f>
        <v>0</v>
      </c>
      <c r="AB33" s="98">
        <f t="shared" si="20"/>
        <v>572</v>
      </c>
      <c r="AC33" s="94">
        <f>SUM(AC34:AC35)</f>
        <v>387</v>
      </c>
      <c r="AD33" s="2">
        <f>SUM(AD34:AD35)</f>
        <v>0</v>
      </c>
      <c r="AE33" s="98">
        <f t="shared" si="21"/>
        <v>387</v>
      </c>
      <c r="AF33" s="94">
        <f>SUM(AF34:AF35)</f>
        <v>328</v>
      </c>
      <c r="AG33" s="2">
        <f>SUM(AG34:AG35)</f>
        <v>0</v>
      </c>
      <c r="AH33" s="98">
        <f t="shared" si="22"/>
        <v>328</v>
      </c>
      <c r="AI33" s="94">
        <f>SUM(AI34:AI35)</f>
        <v>116</v>
      </c>
      <c r="AJ33" s="2">
        <f>SUM(AJ34:AJ35)</f>
        <v>200</v>
      </c>
      <c r="AK33" s="98">
        <f t="shared" si="23"/>
        <v>316</v>
      </c>
    </row>
    <row r="34" spans="1:37" x14ac:dyDescent="0.5">
      <c r="A34" s="86" t="s">
        <v>413</v>
      </c>
      <c r="B34" s="94">
        <f>Langstaat!D35</f>
        <v>0</v>
      </c>
      <c r="C34" s="2">
        <f>Langstaat!E35</f>
        <v>344</v>
      </c>
      <c r="D34" s="98">
        <f t="shared" si="12"/>
        <v>344</v>
      </c>
      <c r="E34" s="94">
        <f>Langstaat!G35</f>
        <v>23</v>
      </c>
      <c r="F34" s="2">
        <f>Langstaat!H35</f>
        <v>362</v>
      </c>
      <c r="G34" s="98">
        <f t="shared" si="13"/>
        <v>385</v>
      </c>
      <c r="H34" s="94">
        <f>Langstaat!J35</f>
        <v>0</v>
      </c>
      <c r="I34" s="2">
        <f>Langstaat!K35</f>
        <v>404</v>
      </c>
      <c r="J34" s="98">
        <f t="shared" si="14"/>
        <v>404</v>
      </c>
      <c r="K34" s="94">
        <f>Langstaat!M35</f>
        <v>108</v>
      </c>
      <c r="L34" s="2">
        <f>Langstaat!N35</f>
        <v>414</v>
      </c>
      <c r="M34" s="98">
        <f t="shared" si="15"/>
        <v>522</v>
      </c>
      <c r="N34" s="94">
        <f>Langstaat!P35</f>
        <v>60</v>
      </c>
      <c r="O34" s="2">
        <f>Langstaat!Q35</f>
        <v>415</v>
      </c>
      <c r="P34" s="98">
        <f t="shared" si="16"/>
        <v>475</v>
      </c>
      <c r="Q34" s="94">
        <f>Langstaat!S35</f>
        <v>77</v>
      </c>
      <c r="R34" s="2">
        <f>Langstaat!T35</f>
        <v>373</v>
      </c>
      <c r="S34" s="98">
        <f t="shared" si="17"/>
        <v>450</v>
      </c>
      <c r="T34" s="94">
        <f>Langstaat!V35</f>
        <v>135</v>
      </c>
      <c r="U34" s="2">
        <f>Langstaat!W35</f>
        <v>401</v>
      </c>
      <c r="V34" s="98">
        <f t="shared" si="18"/>
        <v>536</v>
      </c>
      <c r="W34" s="94">
        <f>Langstaat!Y35</f>
        <v>335</v>
      </c>
      <c r="X34" s="2">
        <f>Langstaat!Z35</f>
        <v>153</v>
      </c>
      <c r="Y34" s="98">
        <f t="shared" si="19"/>
        <v>488</v>
      </c>
      <c r="Z34" s="94">
        <f>Langstaat!AB35</f>
        <v>572</v>
      </c>
      <c r="AA34" s="2">
        <f>Langstaat!AC35</f>
        <v>0</v>
      </c>
      <c r="AB34" s="98">
        <f t="shared" si="20"/>
        <v>572</v>
      </c>
      <c r="AC34" s="94">
        <f>Langstaat!AE35</f>
        <v>387</v>
      </c>
      <c r="AD34" s="2">
        <f>Langstaat!AF35</f>
        <v>0</v>
      </c>
      <c r="AE34" s="98">
        <f t="shared" si="21"/>
        <v>387</v>
      </c>
      <c r="AF34" s="94">
        <f>Langstaat!AH35</f>
        <v>328</v>
      </c>
      <c r="AG34" s="2">
        <f>Langstaat!AI35</f>
        <v>0</v>
      </c>
      <c r="AH34" s="98">
        <f t="shared" si="22"/>
        <v>328</v>
      </c>
      <c r="AI34" s="94">
        <f>Langstaat!AK35</f>
        <v>116</v>
      </c>
      <c r="AJ34" s="2">
        <f>Langstaat!AL35</f>
        <v>200</v>
      </c>
      <c r="AK34" s="98">
        <f t="shared" si="23"/>
        <v>316</v>
      </c>
    </row>
    <row r="35" spans="1:37" x14ac:dyDescent="0.5">
      <c r="A35" s="86" t="s">
        <v>414</v>
      </c>
      <c r="B35" s="94">
        <f>Langstaat!D36</f>
        <v>0</v>
      </c>
      <c r="C35" s="2">
        <f>Langstaat!E36</f>
        <v>0</v>
      </c>
      <c r="D35" s="98">
        <f t="shared" si="12"/>
        <v>0</v>
      </c>
      <c r="E35" s="94">
        <f>Langstaat!G36</f>
        <v>0</v>
      </c>
      <c r="F35" s="2">
        <f>Langstaat!H36</f>
        <v>0</v>
      </c>
      <c r="G35" s="98">
        <f t="shared" si="13"/>
        <v>0</v>
      </c>
      <c r="H35" s="94">
        <f>Langstaat!J36</f>
        <v>0</v>
      </c>
      <c r="I35" s="2">
        <f>Langstaat!K36</f>
        <v>0</v>
      </c>
      <c r="J35" s="98">
        <f t="shared" si="14"/>
        <v>0</v>
      </c>
      <c r="K35" s="94">
        <f>Langstaat!M36</f>
        <v>0</v>
      </c>
      <c r="L35" s="2">
        <f>Langstaat!N36</f>
        <v>0</v>
      </c>
      <c r="M35" s="98">
        <f t="shared" si="15"/>
        <v>0</v>
      </c>
      <c r="N35" s="94">
        <f>Langstaat!P36</f>
        <v>0</v>
      </c>
      <c r="O35" s="2">
        <f>Langstaat!Q36</f>
        <v>0</v>
      </c>
      <c r="P35" s="98">
        <f t="shared" si="16"/>
        <v>0</v>
      </c>
      <c r="Q35" s="94">
        <f>Langstaat!S36</f>
        <v>0</v>
      </c>
      <c r="R35" s="2">
        <f>Langstaat!T36</f>
        <v>0</v>
      </c>
      <c r="S35" s="98">
        <f t="shared" si="17"/>
        <v>0</v>
      </c>
      <c r="T35" s="94">
        <f>Langstaat!V36</f>
        <v>0</v>
      </c>
      <c r="U35" s="2">
        <f>Langstaat!W36</f>
        <v>0</v>
      </c>
      <c r="V35" s="98">
        <f t="shared" si="18"/>
        <v>0</v>
      </c>
      <c r="W35" s="94">
        <f>Langstaat!Y36</f>
        <v>0</v>
      </c>
      <c r="X35" s="2">
        <f>Langstaat!Z36</f>
        <v>0</v>
      </c>
      <c r="Y35" s="98">
        <f t="shared" si="19"/>
        <v>0</v>
      </c>
      <c r="Z35" s="94">
        <f>Langstaat!AB36</f>
        <v>0</v>
      </c>
      <c r="AA35" s="2">
        <f>Langstaat!AC36</f>
        <v>0</v>
      </c>
      <c r="AB35" s="98">
        <f t="shared" si="20"/>
        <v>0</v>
      </c>
      <c r="AC35" s="94">
        <f>Langstaat!AE36</f>
        <v>0</v>
      </c>
      <c r="AD35" s="2">
        <f>Langstaat!AF36</f>
        <v>0</v>
      </c>
      <c r="AE35" s="98">
        <f t="shared" si="21"/>
        <v>0</v>
      </c>
      <c r="AF35" s="94">
        <f>Langstaat!AH36</f>
        <v>0</v>
      </c>
      <c r="AG35" s="2">
        <f>Langstaat!AI36</f>
        <v>0</v>
      </c>
      <c r="AH35" s="98">
        <f t="shared" si="22"/>
        <v>0</v>
      </c>
      <c r="AI35" s="94">
        <f>Langstaat!AK36</f>
        <v>0</v>
      </c>
      <c r="AJ35" s="2">
        <f>Langstaat!AL36</f>
        <v>0</v>
      </c>
      <c r="AK35" s="98">
        <f t="shared" si="23"/>
        <v>0</v>
      </c>
    </row>
    <row r="36" spans="1:37" x14ac:dyDescent="0.5">
      <c r="A36" s="86" t="s">
        <v>415</v>
      </c>
      <c r="B36" s="94">
        <f>SUM(B37:B38)</f>
        <v>1147</v>
      </c>
      <c r="C36" s="2">
        <f>SUM(C37:C38)</f>
        <v>835</v>
      </c>
      <c r="D36" s="98">
        <f t="shared" si="12"/>
        <v>1982</v>
      </c>
      <c r="E36" s="94">
        <f>SUM(E37:E38)</f>
        <v>1995</v>
      </c>
      <c r="F36" s="2">
        <f>SUM(F37:F38)</f>
        <v>0</v>
      </c>
      <c r="G36" s="98">
        <f t="shared" si="13"/>
        <v>1995</v>
      </c>
      <c r="H36" s="94">
        <f>SUM(H37:H38)</f>
        <v>699</v>
      </c>
      <c r="I36" s="2">
        <f>SUM(I37:I38)</f>
        <v>0</v>
      </c>
      <c r="J36" s="98">
        <f t="shared" si="14"/>
        <v>699</v>
      </c>
      <c r="K36" s="94">
        <f>SUM(K37:K38)</f>
        <v>621</v>
      </c>
      <c r="L36" s="2">
        <f>SUM(L37:L38)</f>
        <v>0</v>
      </c>
      <c r="M36" s="98">
        <f t="shared" si="15"/>
        <v>621</v>
      </c>
      <c r="N36" s="94">
        <f>SUM(N37:N38)</f>
        <v>36</v>
      </c>
      <c r="O36" s="2">
        <f>SUM(O37:O38)</f>
        <v>0</v>
      </c>
      <c r="P36" s="98">
        <f t="shared" si="16"/>
        <v>36</v>
      </c>
      <c r="Q36" s="94">
        <f>SUM(Q37:Q38)</f>
        <v>725</v>
      </c>
      <c r="R36" s="2">
        <f>SUM(R37:R38)</f>
        <v>0</v>
      </c>
      <c r="S36" s="98">
        <f t="shared" si="17"/>
        <v>725</v>
      </c>
      <c r="T36" s="94">
        <f>SUM(T37:T38)</f>
        <v>839</v>
      </c>
      <c r="U36" s="2">
        <f>SUM(U37:U38)</f>
        <v>225</v>
      </c>
      <c r="V36" s="98">
        <f t="shared" si="18"/>
        <v>1064</v>
      </c>
      <c r="W36" s="94">
        <f>SUM(W37:W38)</f>
        <v>15</v>
      </c>
      <c r="X36" s="2">
        <f>SUM(X37:X38)</f>
        <v>154</v>
      </c>
      <c r="Y36" s="98">
        <f t="shared" si="19"/>
        <v>169</v>
      </c>
      <c r="Z36" s="94">
        <f>SUM(Z37:Z38)</f>
        <v>3</v>
      </c>
      <c r="AA36" s="2">
        <f>SUM(AA37:AA38)</f>
        <v>0</v>
      </c>
      <c r="AB36" s="98">
        <f t="shared" si="20"/>
        <v>3</v>
      </c>
      <c r="AC36" s="94">
        <f>SUM(AC37:AC38)</f>
        <v>34</v>
      </c>
      <c r="AD36" s="2">
        <f>SUM(AD37:AD38)</f>
        <v>0</v>
      </c>
      <c r="AE36" s="98">
        <f t="shared" si="21"/>
        <v>34</v>
      </c>
      <c r="AF36" s="94">
        <f>SUM(AF37:AF38)</f>
        <v>9</v>
      </c>
      <c r="AG36" s="2">
        <f>SUM(AG37:AG38)</f>
        <v>0</v>
      </c>
      <c r="AH36" s="98">
        <f t="shared" si="22"/>
        <v>9</v>
      </c>
      <c r="AI36" s="94">
        <f>SUM(AI37:AI38)</f>
        <v>105</v>
      </c>
      <c r="AJ36" s="2">
        <f>SUM(AJ37:AJ38)</f>
        <v>0</v>
      </c>
      <c r="AK36" s="98">
        <f t="shared" si="23"/>
        <v>105</v>
      </c>
    </row>
    <row r="37" spans="1:37" x14ac:dyDescent="0.5">
      <c r="A37" s="86" t="s">
        <v>416</v>
      </c>
      <c r="B37" s="94">
        <f>Langstaat!D38</f>
        <v>1147</v>
      </c>
      <c r="C37" s="2">
        <f>Langstaat!E38</f>
        <v>835</v>
      </c>
      <c r="D37" s="98">
        <f t="shared" si="12"/>
        <v>1982</v>
      </c>
      <c r="E37" s="94">
        <f>Langstaat!G38</f>
        <v>1995</v>
      </c>
      <c r="F37" s="2">
        <f>Langstaat!H38</f>
        <v>0</v>
      </c>
      <c r="G37" s="98">
        <f t="shared" si="13"/>
        <v>1995</v>
      </c>
      <c r="H37" s="94">
        <f>Langstaat!J38</f>
        <v>699</v>
      </c>
      <c r="I37" s="2">
        <f>Langstaat!K38</f>
        <v>0</v>
      </c>
      <c r="J37" s="98">
        <f t="shared" si="14"/>
        <v>699</v>
      </c>
      <c r="K37" s="94">
        <f>Langstaat!M38</f>
        <v>621</v>
      </c>
      <c r="L37" s="2">
        <f>Langstaat!N38</f>
        <v>0</v>
      </c>
      <c r="M37" s="98">
        <f t="shared" si="15"/>
        <v>621</v>
      </c>
      <c r="N37" s="94">
        <f>Langstaat!P38</f>
        <v>36</v>
      </c>
      <c r="O37" s="2">
        <f>Langstaat!Q38</f>
        <v>0</v>
      </c>
      <c r="P37" s="98">
        <f t="shared" si="16"/>
        <v>36</v>
      </c>
      <c r="Q37" s="94">
        <f>Langstaat!S38</f>
        <v>725</v>
      </c>
      <c r="R37" s="2">
        <f>Langstaat!T38</f>
        <v>0</v>
      </c>
      <c r="S37" s="98">
        <f t="shared" si="17"/>
        <v>725</v>
      </c>
      <c r="T37" s="94">
        <f>Langstaat!V38</f>
        <v>839</v>
      </c>
      <c r="U37" s="2">
        <f>Langstaat!W38</f>
        <v>225</v>
      </c>
      <c r="V37" s="98">
        <f t="shared" si="18"/>
        <v>1064</v>
      </c>
      <c r="W37" s="94">
        <f>Langstaat!Y38</f>
        <v>15</v>
      </c>
      <c r="X37" s="2">
        <f>Langstaat!Z38</f>
        <v>154</v>
      </c>
      <c r="Y37" s="98">
        <f t="shared" si="19"/>
        <v>169</v>
      </c>
      <c r="Z37" s="94">
        <f>Langstaat!AB38</f>
        <v>3</v>
      </c>
      <c r="AA37" s="2">
        <f>Langstaat!AC38</f>
        <v>0</v>
      </c>
      <c r="AB37" s="98">
        <f t="shared" si="20"/>
        <v>3</v>
      </c>
      <c r="AC37" s="94">
        <f>Langstaat!AE38</f>
        <v>34</v>
      </c>
      <c r="AD37" s="2">
        <f>Langstaat!AF38</f>
        <v>0</v>
      </c>
      <c r="AE37" s="98">
        <f t="shared" si="21"/>
        <v>34</v>
      </c>
      <c r="AF37" s="94">
        <f>Langstaat!AH38</f>
        <v>9</v>
      </c>
      <c r="AG37" s="2">
        <f>Langstaat!AI38</f>
        <v>0</v>
      </c>
      <c r="AH37" s="98">
        <f t="shared" si="22"/>
        <v>9</v>
      </c>
      <c r="AI37" s="94">
        <f>Langstaat!AK38</f>
        <v>105</v>
      </c>
      <c r="AJ37" s="2">
        <f>Langstaat!AL38</f>
        <v>0</v>
      </c>
      <c r="AK37" s="98">
        <f t="shared" si="23"/>
        <v>105</v>
      </c>
    </row>
    <row r="38" spans="1:37" x14ac:dyDescent="0.5">
      <c r="A38" s="86" t="s">
        <v>417</v>
      </c>
      <c r="B38" s="94">
        <f>Langstaat!D39</f>
        <v>0</v>
      </c>
      <c r="C38" s="2">
        <f>Langstaat!E39</f>
        <v>0</v>
      </c>
      <c r="D38" s="98">
        <f t="shared" si="12"/>
        <v>0</v>
      </c>
      <c r="E38" s="94">
        <f>Langstaat!G39</f>
        <v>0</v>
      </c>
      <c r="F38" s="2">
        <f>Langstaat!H39</f>
        <v>0</v>
      </c>
      <c r="G38" s="98">
        <f t="shared" si="13"/>
        <v>0</v>
      </c>
      <c r="H38" s="94">
        <f>Langstaat!J39</f>
        <v>0</v>
      </c>
      <c r="I38" s="2">
        <f>Langstaat!K39</f>
        <v>0</v>
      </c>
      <c r="J38" s="98">
        <f t="shared" si="14"/>
        <v>0</v>
      </c>
      <c r="K38" s="94">
        <f>Langstaat!M39</f>
        <v>0</v>
      </c>
      <c r="L38" s="2">
        <f>Langstaat!N39</f>
        <v>0</v>
      </c>
      <c r="M38" s="98">
        <f t="shared" si="15"/>
        <v>0</v>
      </c>
      <c r="N38" s="94">
        <f>Langstaat!P39</f>
        <v>0</v>
      </c>
      <c r="O38" s="2">
        <f>Langstaat!Q39</f>
        <v>0</v>
      </c>
      <c r="P38" s="98">
        <f t="shared" si="16"/>
        <v>0</v>
      </c>
      <c r="Q38" s="94">
        <f>Langstaat!S39</f>
        <v>0</v>
      </c>
      <c r="R38" s="2">
        <f>Langstaat!T39</f>
        <v>0</v>
      </c>
      <c r="S38" s="98">
        <f t="shared" si="17"/>
        <v>0</v>
      </c>
      <c r="T38" s="94">
        <f>Langstaat!V39</f>
        <v>0</v>
      </c>
      <c r="U38" s="2">
        <f>Langstaat!W39</f>
        <v>0</v>
      </c>
      <c r="V38" s="98">
        <f t="shared" si="18"/>
        <v>0</v>
      </c>
      <c r="W38" s="94">
        <f>Langstaat!Y39</f>
        <v>0</v>
      </c>
      <c r="X38" s="2">
        <f>Langstaat!Z39</f>
        <v>0</v>
      </c>
      <c r="Y38" s="98">
        <f t="shared" si="19"/>
        <v>0</v>
      </c>
      <c r="Z38" s="94">
        <f>Langstaat!AB39</f>
        <v>0</v>
      </c>
      <c r="AA38" s="2">
        <f>Langstaat!AC39</f>
        <v>0</v>
      </c>
      <c r="AB38" s="98">
        <f t="shared" si="20"/>
        <v>0</v>
      </c>
      <c r="AC38" s="94">
        <f>Langstaat!AE39</f>
        <v>0</v>
      </c>
      <c r="AD38" s="2">
        <f>Langstaat!AF39</f>
        <v>0</v>
      </c>
      <c r="AE38" s="98">
        <f t="shared" si="21"/>
        <v>0</v>
      </c>
      <c r="AF38" s="94">
        <f>Langstaat!AH39</f>
        <v>0</v>
      </c>
      <c r="AG38" s="2">
        <f>Langstaat!AI39</f>
        <v>0</v>
      </c>
      <c r="AH38" s="98">
        <f t="shared" si="22"/>
        <v>0</v>
      </c>
      <c r="AI38" s="94">
        <f>Langstaat!AK39</f>
        <v>0</v>
      </c>
      <c r="AJ38" s="2">
        <f>Langstaat!AL39</f>
        <v>0</v>
      </c>
      <c r="AK38" s="98">
        <f t="shared" si="23"/>
        <v>0</v>
      </c>
    </row>
    <row r="39" spans="1:37" x14ac:dyDescent="0.5">
      <c r="A39" s="85" t="s">
        <v>418</v>
      </c>
      <c r="B39" s="93">
        <f>B30+B32</f>
        <v>11346</v>
      </c>
      <c r="C39" s="3">
        <f>C30+C32</f>
        <v>4415</v>
      </c>
      <c r="D39" s="97">
        <f t="shared" si="12"/>
        <v>15761</v>
      </c>
      <c r="E39" s="93">
        <f>E30+E32</f>
        <v>15617</v>
      </c>
      <c r="F39" s="3">
        <f>F30+F32</f>
        <v>4014</v>
      </c>
      <c r="G39" s="97">
        <f t="shared" si="13"/>
        <v>19631</v>
      </c>
      <c r="H39" s="93">
        <f>H30+H32</f>
        <v>14010</v>
      </c>
      <c r="I39" s="3">
        <f>I30+I32</f>
        <v>4156</v>
      </c>
      <c r="J39" s="97">
        <f t="shared" si="14"/>
        <v>18166</v>
      </c>
      <c r="K39" s="93">
        <f>K30+K32</f>
        <v>13025</v>
      </c>
      <c r="L39" s="3">
        <f>L30+L32</f>
        <v>5705</v>
      </c>
      <c r="M39" s="97">
        <f t="shared" si="15"/>
        <v>18730</v>
      </c>
      <c r="N39" s="93">
        <f>N30+N32</f>
        <v>9927</v>
      </c>
      <c r="O39" s="3">
        <f>O30+O32</f>
        <v>3965</v>
      </c>
      <c r="P39" s="97">
        <f t="shared" si="16"/>
        <v>13892</v>
      </c>
      <c r="Q39" s="93">
        <f>Q30+Q32</f>
        <v>13898</v>
      </c>
      <c r="R39" s="3">
        <f>R30+R32</f>
        <v>3345</v>
      </c>
      <c r="S39" s="97">
        <f t="shared" si="17"/>
        <v>17243</v>
      </c>
      <c r="T39" s="93">
        <f>T30+T32</f>
        <v>13724</v>
      </c>
      <c r="U39" s="3">
        <f>U30+U32</f>
        <v>2394</v>
      </c>
      <c r="V39" s="97">
        <f t="shared" si="18"/>
        <v>16118</v>
      </c>
      <c r="W39" s="93">
        <f>W30+W32</f>
        <v>13938</v>
      </c>
      <c r="X39" s="3">
        <f>X30+X32</f>
        <v>2394</v>
      </c>
      <c r="Y39" s="97">
        <f t="shared" si="19"/>
        <v>16332</v>
      </c>
      <c r="Z39" s="93">
        <f>Z30+Z32</f>
        <v>14900</v>
      </c>
      <c r="AA39" s="3">
        <f>AA30+AA32</f>
        <v>2224</v>
      </c>
      <c r="AB39" s="97">
        <f t="shared" si="20"/>
        <v>17124</v>
      </c>
      <c r="AC39" s="93">
        <f>AC30+AC32</f>
        <v>10330</v>
      </c>
      <c r="AD39" s="3">
        <f>AD30+AD32</f>
        <v>3039</v>
      </c>
      <c r="AE39" s="97">
        <f t="shared" si="21"/>
        <v>13369</v>
      </c>
      <c r="AF39" s="93">
        <f>AF30+AF32</f>
        <v>11998</v>
      </c>
      <c r="AG39" s="3">
        <f>AG30+AG32</f>
        <v>3666</v>
      </c>
      <c r="AH39" s="97">
        <f t="shared" si="22"/>
        <v>15664</v>
      </c>
      <c r="AI39" s="93">
        <f>AI30+AI32</f>
        <v>12692</v>
      </c>
      <c r="AJ39" s="3">
        <f>AJ30+AJ32</f>
        <v>769</v>
      </c>
      <c r="AK39" s="97">
        <f t="shared" si="23"/>
        <v>13461</v>
      </c>
    </row>
    <row r="40" spans="1:37" x14ac:dyDescent="0.5">
      <c r="A40" s="85"/>
      <c r="B40" s="93"/>
      <c r="C40" s="3"/>
      <c r="D40" s="97"/>
      <c r="E40" s="93"/>
      <c r="F40" s="3"/>
      <c r="G40" s="97"/>
      <c r="H40" s="93"/>
      <c r="I40" s="3"/>
      <c r="J40" s="97"/>
      <c r="K40" s="93"/>
      <c r="L40" s="3"/>
      <c r="M40" s="97"/>
      <c r="N40" s="93"/>
      <c r="O40" s="3"/>
      <c r="P40" s="97"/>
      <c r="Q40" s="93"/>
      <c r="R40" s="3"/>
      <c r="S40" s="97"/>
      <c r="T40" s="93"/>
      <c r="U40" s="3"/>
      <c r="V40" s="97"/>
      <c r="W40" s="93"/>
      <c r="X40" s="3"/>
      <c r="Y40" s="97"/>
      <c r="Z40" s="93"/>
      <c r="AA40" s="3"/>
      <c r="AB40" s="97"/>
      <c r="AC40" s="93"/>
      <c r="AD40" s="3"/>
      <c r="AE40" s="97"/>
      <c r="AF40" s="93"/>
      <c r="AG40" s="3"/>
      <c r="AH40" s="97"/>
      <c r="AI40" s="93"/>
      <c r="AJ40" s="3"/>
      <c r="AK40" s="97"/>
    </row>
    <row r="41" spans="1:37" x14ac:dyDescent="0.5">
      <c r="A41" s="85" t="s">
        <v>419</v>
      </c>
      <c r="B41" s="93">
        <f>SUM(B42:B43)</f>
        <v>47329</v>
      </c>
      <c r="C41" s="3">
        <f>SUM(C42:C43)</f>
        <v>21678</v>
      </c>
      <c r="D41" s="97">
        <f>B41+C41</f>
        <v>69007</v>
      </c>
      <c r="E41" s="93">
        <f>SUM(E42:E43)</f>
        <v>63462</v>
      </c>
      <c r="F41" s="3">
        <f>SUM(F42:F43)</f>
        <v>18608</v>
      </c>
      <c r="G41" s="97">
        <f>E41+F41</f>
        <v>82070</v>
      </c>
      <c r="H41" s="93">
        <f>SUM(H42:H43)</f>
        <v>58996</v>
      </c>
      <c r="I41" s="3">
        <f>SUM(I42:I43)</f>
        <v>19339</v>
      </c>
      <c r="J41" s="97">
        <f>H41+I41</f>
        <v>78335</v>
      </c>
      <c r="K41" s="93">
        <f>SUM(K42:K43)</f>
        <v>66958</v>
      </c>
      <c r="L41" s="3">
        <f>SUM(L42:L43)</f>
        <v>19151</v>
      </c>
      <c r="M41" s="97">
        <f>K41+L41</f>
        <v>86109</v>
      </c>
      <c r="N41" s="93">
        <f>SUM(N42:N43)</f>
        <v>65273</v>
      </c>
      <c r="O41" s="3">
        <f>SUM(O42:O43)</f>
        <v>18034</v>
      </c>
      <c r="P41" s="97">
        <f>N41+O41</f>
        <v>83307</v>
      </c>
      <c r="Q41" s="93">
        <f>SUM(Q42:Q43)</f>
        <v>56988</v>
      </c>
      <c r="R41" s="3">
        <f>SUM(R42:R43)</f>
        <v>16361</v>
      </c>
      <c r="S41" s="97">
        <f>Q41+R41</f>
        <v>73349</v>
      </c>
      <c r="T41" s="93">
        <f>SUM(T42:T43)</f>
        <v>61758</v>
      </c>
      <c r="U41" s="3">
        <f>SUM(U42:U43)</f>
        <v>14387</v>
      </c>
      <c r="V41" s="97">
        <f>T41+U41</f>
        <v>76145</v>
      </c>
      <c r="W41" s="93">
        <f>SUM(W42:W43)</f>
        <v>75083</v>
      </c>
      <c r="X41" s="3">
        <f>SUM(X42:X43)</f>
        <v>12422</v>
      </c>
      <c r="Y41" s="97">
        <f>W41+X41</f>
        <v>87505</v>
      </c>
      <c r="Z41" s="93">
        <f>SUM(Z42:Z43)</f>
        <v>61955</v>
      </c>
      <c r="AA41" s="3">
        <f>SUM(AA42:AA43)</f>
        <v>10515</v>
      </c>
      <c r="AB41" s="97">
        <f>Z41+AA41</f>
        <v>72470</v>
      </c>
      <c r="AC41" s="93">
        <f>SUM(AC42:AC43)</f>
        <v>54262</v>
      </c>
      <c r="AD41" s="3">
        <f>SUM(AD42:AD43)</f>
        <v>7622</v>
      </c>
      <c r="AE41" s="97">
        <f>AC41+AD41</f>
        <v>61884</v>
      </c>
      <c r="AF41" s="93">
        <f>SUM(AF42:AF43)</f>
        <v>43736</v>
      </c>
      <c r="AG41" s="3">
        <f>SUM(AG42:AG43)</f>
        <v>4107</v>
      </c>
      <c r="AH41" s="97">
        <f>AF41+AG41</f>
        <v>47843</v>
      </c>
      <c r="AI41" s="93">
        <f>SUM(AI42:AI43)</f>
        <v>31836</v>
      </c>
      <c r="AJ41" s="3">
        <f>SUM(AJ42:AJ43)</f>
        <v>3402</v>
      </c>
      <c r="AK41" s="97">
        <f>AI41+AJ41</f>
        <v>35238</v>
      </c>
    </row>
    <row r="42" spans="1:37" x14ac:dyDescent="0.5">
      <c r="A42" s="86" t="s">
        <v>420</v>
      </c>
      <c r="B42" s="94">
        <f>Langstaat!D49</f>
        <v>17659</v>
      </c>
      <c r="C42" s="2">
        <f>Langstaat!E49</f>
        <v>15410</v>
      </c>
      <c r="D42" s="98">
        <f>B42+C42</f>
        <v>33069</v>
      </c>
      <c r="E42" s="94">
        <f>Langstaat!G49</f>
        <v>35877</v>
      </c>
      <c r="F42" s="2">
        <f>Langstaat!H49</f>
        <v>14784</v>
      </c>
      <c r="G42" s="98">
        <f>E42+F42</f>
        <v>50661</v>
      </c>
      <c r="H42" s="94">
        <f>Langstaat!J49</f>
        <v>23593</v>
      </c>
      <c r="I42" s="2">
        <f>Langstaat!K49</f>
        <v>16042</v>
      </c>
      <c r="J42" s="98">
        <f>H42+I42</f>
        <v>39635</v>
      </c>
      <c r="K42" s="94">
        <f>Langstaat!M49</f>
        <v>34910</v>
      </c>
      <c r="L42" s="2">
        <f>Langstaat!N49</f>
        <v>13837</v>
      </c>
      <c r="M42" s="98">
        <f>K42+L42</f>
        <v>48747</v>
      </c>
      <c r="N42" s="94">
        <f>Langstaat!P49</f>
        <v>34379</v>
      </c>
      <c r="O42" s="2">
        <f>Langstaat!Q49</f>
        <v>13566</v>
      </c>
      <c r="P42" s="98">
        <f>N42+O42</f>
        <v>47945</v>
      </c>
      <c r="Q42" s="94">
        <f>Langstaat!S49</f>
        <v>32282</v>
      </c>
      <c r="R42" s="2">
        <f>Langstaat!T49</f>
        <v>13377</v>
      </c>
      <c r="S42" s="98">
        <f>Q42+R42</f>
        <v>45659</v>
      </c>
      <c r="T42" s="94">
        <f>Langstaat!V49</f>
        <v>36137</v>
      </c>
      <c r="U42" s="2">
        <f>Langstaat!W49</f>
        <v>12096</v>
      </c>
      <c r="V42" s="98">
        <f>T42+U42</f>
        <v>48233</v>
      </c>
      <c r="W42" s="94">
        <f>Langstaat!Y49</f>
        <v>31231</v>
      </c>
      <c r="X42" s="2">
        <f>Langstaat!Z49</f>
        <v>10498</v>
      </c>
      <c r="Y42" s="98">
        <f>W42+X42</f>
        <v>41729</v>
      </c>
      <c r="Z42" s="94">
        <f>Langstaat!AB49</f>
        <v>26255</v>
      </c>
      <c r="AA42" s="2">
        <f>Langstaat!AC49</f>
        <v>3468</v>
      </c>
      <c r="AB42" s="98">
        <f>Z42+AA42</f>
        <v>29723</v>
      </c>
      <c r="AC42" s="94">
        <f>Langstaat!AE49</f>
        <v>23016</v>
      </c>
      <c r="AD42" s="2">
        <f>Langstaat!AF49</f>
        <v>3272</v>
      </c>
      <c r="AE42" s="98">
        <f>AC42+AD42</f>
        <v>26288</v>
      </c>
      <c r="AF42" s="94">
        <f>Langstaat!AH49</f>
        <v>17267</v>
      </c>
      <c r="AG42" s="2">
        <f>Langstaat!AI49</f>
        <v>2772</v>
      </c>
      <c r="AH42" s="98">
        <f>AF42+AG42</f>
        <v>20039</v>
      </c>
      <c r="AI42" s="94">
        <f>Langstaat!AK49</f>
        <v>12485</v>
      </c>
      <c r="AJ42" s="2">
        <f>Langstaat!AL49</f>
        <v>2326</v>
      </c>
      <c r="AK42" s="98">
        <f>AI42+AJ42</f>
        <v>14811</v>
      </c>
    </row>
    <row r="43" spans="1:37" x14ac:dyDescent="0.5">
      <c r="A43" s="87" t="s">
        <v>178</v>
      </c>
      <c r="B43" s="95">
        <f>Langstaat!D50</f>
        <v>29670</v>
      </c>
      <c r="C43" s="96">
        <f>Langstaat!E50</f>
        <v>6268</v>
      </c>
      <c r="D43" s="99">
        <f>B43+C43</f>
        <v>35938</v>
      </c>
      <c r="E43" s="95">
        <f>Langstaat!G50</f>
        <v>27585</v>
      </c>
      <c r="F43" s="96">
        <f>Langstaat!H50</f>
        <v>3824</v>
      </c>
      <c r="G43" s="99">
        <f>E43+F43</f>
        <v>31409</v>
      </c>
      <c r="H43" s="95">
        <f>Langstaat!J50</f>
        <v>35403</v>
      </c>
      <c r="I43" s="96">
        <f>Langstaat!K50</f>
        <v>3297</v>
      </c>
      <c r="J43" s="99">
        <f>H43+I43</f>
        <v>38700</v>
      </c>
      <c r="K43" s="95">
        <f>Langstaat!M50</f>
        <v>32048</v>
      </c>
      <c r="L43" s="96">
        <f>Langstaat!N50</f>
        <v>5314</v>
      </c>
      <c r="M43" s="99">
        <f>K43+L43</f>
        <v>37362</v>
      </c>
      <c r="N43" s="95">
        <f>Langstaat!P50</f>
        <v>30894</v>
      </c>
      <c r="O43" s="96">
        <f>Langstaat!Q50</f>
        <v>4468</v>
      </c>
      <c r="P43" s="99">
        <f>N43+O43</f>
        <v>35362</v>
      </c>
      <c r="Q43" s="95">
        <f>Langstaat!S50</f>
        <v>24706</v>
      </c>
      <c r="R43" s="96">
        <f>Langstaat!T50</f>
        <v>2984</v>
      </c>
      <c r="S43" s="99">
        <f>Q43+R43</f>
        <v>27690</v>
      </c>
      <c r="T43" s="95">
        <f>Langstaat!V50</f>
        <v>25621</v>
      </c>
      <c r="U43" s="96">
        <f>Langstaat!W50</f>
        <v>2291</v>
      </c>
      <c r="V43" s="99">
        <f>T43+U43</f>
        <v>27912</v>
      </c>
      <c r="W43" s="95">
        <f>Langstaat!Y50</f>
        <v>43852</v>
      </c>
      <c r="X43" s="96">
        <f>Langstaat!Z50</f>
        <v>1924</v>
      </c>
      <c r="Y43" s="99">
        <f>W43+X43</f>
        <v>45776</v>
      </c>
      <c r="Z43" s="95">
        <f>Langstaat!AB50</f>
        <v>35700</v>
      </c>
      <c r="AA43" s="96">
        <f>Langstaat!AC50</f>
        <v>7047</v>
      </c>
      <c r="AB43" s="99">
        <f>Z43+AA43</f>
        <v>42747</v>
      </c>
      <c r="AC43" s="95">
        <f>Langstaat!AE50</f>
        <v>31246</v>
      </c>
      <c r="AD43" s="96">
        <f>Langstaat!AF50</f>
        <v>4350</v>
      </c>
      <c r="AE43" s="99">
        <f>AC43+AD43</f>
        <v>35596</v>
      </c>
      <c r="AF43" s="95">
        <f>Langstaat!AH50</f>
        <v>26469</v>
      </c>
      <c r="AG43" s="96">
        <f>Langstaat!AI50</f>
        <v>1335</v>
      </c>
      <c r="AH43" s="99">
        <f>AF43+AG43</f>
        <v>27804</v>
      </c>
      <c r="AI43" s="95">
        <f>Langstaat!AK50</f>
        <v>19351</v>
      </c>
      <c r="AJ43" s="96">
        <f>Langstaat!AL50</f>
        <v>1076</v>
      </c>
      <c r="AK43" s="99">
        <f>AI43+AJ43</f>
        <v>20427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3:D3"/>
    <mergeCell ref="E3:G3"/>
    <mergeCell ref="H3:J3"/>
    <mergeCell ref="K3:M3"/>
    <mergeCell ref="N3:P3"/>
    <mergeCell ref="AF3:AH3"/>
    <mergeCell ref="AI3:AK3"/>
    <mergeCell ref="Q3:S3"/>
    <mergeCell ref="T3:V3"/>
    <mergeCell ref="W3:Y3"/>
    <mergeCell ref="Z3:AB3"/>
    <mergeCell ref="AC3:A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S65"/>
  <sheetViews>
    <sheetView zoomScale="55" workbookViewId="0">
      <selection activeCell="D46" sqref="D46"/>
    </sheetView>
  </sheetViews>
  <sheetFormatPr defaultRowHeight="28.2" x14ac:dyDescent="0.5"/>
  <cols>
    <col min="1" max="1" width="4" customWidth="1"/>
    <col min="2" max="2" width="2.8203125" customWidth="1"/>
    <col min="3" max="3" width="30" customWidth="1"/>
    <col min="4" max="39" width="8" customWidth="1"/>
    <col min="40" max="42" width="9" customWidth="1"/>
    <col min="43" max="43" width="30" customWidth="1"/>
    <col min="44" max="44" width="2.8203125" customWidth="1"/>
    <col min="45" max="45" width="4" customWidth="1"/>
  </cols>
  <sheetData>
    <row r="1" spans="1:45" ht="27.75" customHeight="1" x14ac:dyDescent="0.5">
      <c r="A1" s="7"/>
      <c r="B1" s="10"/>
      <c r="C1" s="12"/>
      <c r="D1" s="135" t="s">
        <v>69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4"/>
      <c r="AQ1" s="24"/>
      <c r="AR1" s="10"/>
      <c r="AS1" s="12"/>
    </row>
    <row r="2" spans="1:45" ht="27.75" customHeight="1" x14ac:dyDescent="0.5">
      <c r="A2" s="8"/>
      <c r="C2" s="13"/>
      <c r="D2" s="100" t="s">
        <v>70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2"/>
      <c r="AQ2" s="22"/>
      <c r="AS2" s="13"/>
    </row>
    <row r="3" spans="1:45" ht="27.75" customHeight="1" x14ac:dyDescent="0.5">
      <c r="A3" s="8"/>
      <c r="C3" s="13"/>
      <c r="D3" s="100" t="s">
        <v>71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2"/>
      <c r="AQ3" s="100"/>
      <c r="AR3" s="101"/>
      <c r="AS3" s="102"/>
    </row>
    <row r="4" spans="1:45" ht="27.75" customHeight="1" x14ac:dyDescent="0.5">
      <c r="A4" s="8"/>
      <c r="C4" s="13"/>
      <c r="D4" s="136" t="s">
        <v>72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7"/>
      <c r="AQ4" s="22"/>
      <c r="AS4" s="13"/>
    </row>
    <row r="5" spans="1:45" ht="27.75" customHeight="1" x14ac:dyDescent="0.5">
      <c r="A5" s="8"/>
      <c r="C5" s="13"/>
      <c r="D5" s="137" t="s">
        <v>73</v>
      </c>
      <c r="E5" s="113"/>
      <c r="F5" s="114"/>
      <c r="G5" s="137" t="s">
        <v>74</v>
      </c>
      <c r="H5" s="113"/>
      <c r="I5" s="114"/>
      <c r="J5" s="137" t="s">
        <v>75</v>
      </c>
      <c r="K5" s="113"/>
      <c r="L5" s="114"/>
      <c r="M5" s="137" t="s">
        <v>76</v>
      </c>
      <c r="N5" s="113"/>
      <c r="O5" s="114"/>
      <c r="P5" s="137" t="s">
        <v>77</v>
      </c>
      <c r="Q5" s="113"/>
      <c r="R5" s="114"/>
      <c r="S5" s="137" t="s">
        <v>78</v>
      </c>
      <c r="T5" s="113"/>
      <c r="U5" s="114"/>
      <c r="V5" s="137" t="s">
        <v>79</v>
      </c>
      <c r="W5" s="113"/>
      <c r="X5" s="114"/>
      <c r="Y5" s="137" t="s">
        <v>80</v>
      </c>
      <c r="Z5" s="113"/>
      <c r="AA5" s="114"/>
      <c r="AB5" s="137" t="s">
        <v>81</v>
      </c>
      <c r="AC5" s="113"/>
      <c r="AD5" s="114"/>
      <c r="AE5" s="137" t="s">
        <v>82</v>
      </c>
      <c r="AF5" s="113"/>
      <c r="AG5" s="114"/>
      <c r="AH5" s="137" t="s">
        <v>83</v>
      </c>
      <c r="AI5" s="113"/>
      <c r="AJ5" s="114"/>
      <c r="AK5" s="137" t="s">
        <v>84</v>
      </c>
      <c r="AL5" s="113"/>
      <c r="AM5" s="114"/>
      <c r="AN5" s="122" t="s">
        <v>85</v>
      </c>
      <c r="AO5" s="123"/>
      <c r="AP5" s="124"/>
      <c r="AQ5" s="22"/>
      <c r="AS5" s="13"/>
    </row>
    <row r="6" spans="1:45" ht="27.75" customHeight="1" x14ac:dyDescent="0.5">
      <c r="A6" s="8"/>
      <c r="C6" s="13"/>
      <c r="D6" s="115"/>
      <c r="E6" s="116"/>
      <c r="F6" s="117"/>
      <c r="G6" s="115"/>
      <c r="H6" s="116"/>
      <c r="I6" s="117"/>
      <c r="J6" s="115"/>
      <c r="K6" s="116"/>
      <c r="L6" s="117"/>
      <c r="M6" s="115"/>
      <c r="N6" s="116"/>
      <c r="O6" s="117"/>
      <c r="P6" s="115"/>
      <c r="Q6" s="116"/>
      <c r="R6" s="117"/>
      <c r="S6" s="115"/>
      <c r="T6" s="116"/>
      <c r="U6" s="117"/>
      <c r="V6" s="115"/>
      <c r="W6" s="116"/>
      <c r="X6" s="117"/>
      <c r="Y6" s="115"/>
      <c r="Z6" s="116"/>
      <c r="AA6" s="117"/>
      <c r="AB6" s="115"/>
      <c r="AC6" s="116"/>
      <c r="AD6" s="117"/>
      <c r="AE6" s="115"/>
      <c r="AF6" s="116"/>
      <c r="AG6" s="117"/>
      <c r="AH6" s="115"/>
      <c r="AI6" s="116"/>
      <c r="AJ6" s="117"/>
      <c r="AK6" s="115"/>
      <c r="AL6" s="116"/>
      <c r="AM6" s="117"/>
      <c r="AN6" s="125"/>
      <c r="AO6" s="126"/>
      <c r="AP6" s="127"/>
      <c r="AQ6" s="100"/>
      <c r="AR6" s="101"/>
      <c r="AS6" s="102"/>
    </row>
    <row r="7" spans="1:45" ht="27.75" customHeight="1" x14ac:dyDescent="0.5">
      <c r="A7" s="8"/>
      <c r="C7" s="13"/>
      <c r="D7" s="45" t="s">
        <v>86</v>
      </c>
      <c r="E7" s="45"/>
      <c r="F7" s="45" t="s">
        <v>51</v>
      </c>
      <c r="G7" s="45" t="s">
        <v>86</v>
      </c>
      <c r="H7" s="45"/>
      <c r="I7" s="45" t="s">
        <v>51</v>
      </c>
      <c r="J7" s="45" t="s">
        <v>86</v>
      </c>
      <c r="K7" s="45"/>
      <c r="L7" s="45" t="s">
        <v>51</v>
      </c>
      <c r="M7" s="45" t="s">
        <v>86</v>
      </c>
      <c r="N7" s="45"/>
      <c r="O7" s="45" t="s">
        <v>51</v>
      </c>
      <c r="P7" s="45" t="s">
        <v>86</v>
      </c>
      <c r="Q7" s="45"/>
      <c r="R7" s="45" t="s">
        <v>51</v>
      </c>
      <c r="S7" s="45" t="s">
        <v>86</v>
      </c>
      <c r="T7" s="45"/>
      <c r="U7" s="45" t="s">
        <v>51</v>
      </c>
      <c r="V7" s="45" t="s">
        <v>86</v>
      </c>
      <c r="W7" s="45"/>
      <c r="X7" s="45" t="s">
        <v>51</v>
      </c>
      <c r="Y7" s="45" t="s">
        <v>86</v>
      </c>
      <c r="Z7" s="45"/>
      <c r="AA7" s="45" t="s">
        <v>51</v>
      </c>
      <c r="AB7" s="45" t="s">
        <v>86</v>
      </c>
      <c r="AC7" s="45"/>
      <c r="AD7" s="45" t="s">
        <v>51</v>
      </c>
      <c r="AE7" s="45" t="s">
        <v>86</v>
      </c>
      <c r="AF7" s="45"/>
      <c r="AG7" s="45" t="s">
        <v>51</v>
      </c>
      <c r="AH7" s="45" t="s">
        <v>86</v>
      </c>
      <c r="AI7" s="45"/>
      <c r="AJ7" s="45" t="s">
        <v>51</v>
      </c>
      <c r="AK7" s="45" t="s">
        <v>86</v>
      </c>
      <c r="AL7" s="45"/>
      <c r="AM7" s="45" t="s">
        <v>51</v>
      </c>
      <c r="AN7" s="45" t="s">
        <v>86</v>
      </c>
      <c r="AO7" s="45"/>
      <c r="AP7" s="45" t="s">
        <v>51</v>
      </c>
      <c r="AQ7" s="22"/>
      <c r="AS7" s="13"/>
    </row>
    <row r="8" spans="1:45" ht="27.75" customHeight="1" x14ac:dyDescent="0.5">
      <c r="A8" s="9"/>
      <c r="B8" s="11"/>
      <c r="C8" s="14"/>
      <c r="D8" s="46" t="s">
        <v>87</v>
      </c>
      <c r="E8" s="46" t="s">
        <v>88</v>
      </c>
      <c r="F8" s="46" t="s">
        <v>89</v>
      </c>
      <c r="G8" s="46" t="s">
        <v>87</v>
      </c>
      <c r="H8" s="46" t="s">
        <v>88</v>
      </c>
      <c r="I8" s="46" t="s">
        <v>89</v>
      </c>
      <c r="J8" s="46" t="s">
        <v>87</v>
      </c>
      <c r="K8" s="46" t="s">
        <v>88</v>
      </c>
      <c r="L8" s="46" t="s">
        <v>89</v>
      </c>
      <c r="M8" s="46" t="s">
        <v>87</v>
      </c>
      <c r="N8" s="46" t="s">
        <v>88</v>
      </c>
      <c r="O8" s="46" t="s">
        <v>89</v>
      </c>
      <c r="P8" s="46" t="s">
        <v>87</v>
      </c>
      <c r="Q8" s="46" t="s">
        <v>88</v>
      </c>
      <c r="R8" s="46" t="s">
        <v>89</v>
      </c>
      <c r="S8" s="46" t="s">
        <v>87</v>
      </c>
      <c r="T8" s="46" t="s">
        <v>88</v>
      </c>
      <c r="U8" s="46" t="s">
        <v>89</v>
      </c>
      <c r="V8" s="46" t="s">
        <v>87</v>
      </c>
      <c r="W8" s="46" t="s">
        <v>88</v>
      </c>
      <c r="X8" s="46" t="s">
        <v>89</v>
      </c>
      <c r="Y8" s="46" t="s">
        <v>87</v>
      </c>
      <c r="Z8" s="46" t="s">
        <v>88</v>
      </c>
      <c r="AA8" s="46" t="s">
        <v>89</v>
      </c>
      <c r="AB8" s="46" t="s">
        <v>87</v>
      </c>
      <c r="AC8" s="46" t="s">
        <v>88</v>
      </c>
      <c r="AD8" s="46" t="s">
        <v>89</v>
      </c>
      <c r="AE8" s="46" t="s">
        <v>87</v>
      </c>
      <c r="AF8" s="46" t="s">
        <v>88</v>
      </c>
      <c r="AG8" s="46" t="s">
        <v>89</v>
      </c>
      <c r="AH8" s="46" t="s">
        <v>87</v>
      </c>
      <c r="AI8" s="46" t="s">
        <v>88</v>
      </c>
      <c r="AJ8" s="46" t="s">
        <v>89</v>
      </c>
      <c r="AK8" s="46" t="s">
        <v>87</v>
      </c>
      <c r="AL8" s="46" t="s">
        <v>88</v>
      </c>
      <c r="AM8" s="46" t="s">
        <v>89</v>
      </c>
      <c r="AN8" s="46" t="s">
        <v>87</v>
      </c>
      <c r="AO8" s="46" t="s">
        <v>88</v>
      </c>
      <c r="AP8" s="46" t="s">
        <v>89</v>
      </c>
      <c r="AQ8" s="23"/>
      <c r="AR8" s="11"/>
      <c r="AS8" s="14"/>
    </row>
    <row r="9" spans="1:45" ht="27.75" customHeight="1" x14ac:dyDescent="0.5"/>
    <row r="10" spans="1:45" ht="27.75" customHeight="1" x14ac:dyDescent="0.5">
      <c r="A10" s="7"/>
      <c r="B10" s="10"/>
      <c r="C10" s="10"/>
      <c r="D10" s="104" t="s">
        <v>90</v>
      </c>
      <c r="E10" s="105"/>
      <c r="F10" s="106"/>
      <c r="G10" s="104" t="s">
        <v>91</v>
      </c>
      <c r="H10" s="105"/>
      <c r="I10" s="106"/>
      <c r="J10" s="104" t="s">
        <v>92</v>
      </c>
      <c r="K10" s="105"/>
      <c r="L10" s="106"/>
      <c r="M10" s="104" t="s">
        <v>93</v>
      </c>
      <c r="N10" s="105"/>
      <c r="O10" s="106"/>
      <c r="P10" s="104" t="s">
        <v>94</v>
      </c>
      <c r="Q10" s="105"/>
      <c r="R10" s="106"/>
      <c r="S10" s="104" t="s">
        <v>95</v>
      </c>
      <c r="T10" s="105"/>
      <c r="U10" s="106"/>
      <c r="V10" s="104" t="s">
        <v>96</v>
      </c>
      <c r="W10" s="105"/>
      <c r="X10" s="106"/>
      <c r="Y10" s="104" t="s">
        <v>97</v>
      </c>
      <c r="Z10" s="105"/>
      <c r="AA10" s="106"/>
      <c r="AB10" s="104" t="s">
        <v>98</v>
      </c>
      <c r="AC10" s="105"/>
      <c r="AD10" s="106"/>
      <c r="AE10" s="104" t="s">
        <v>99</v>
      </c>
      <c r="AF10" s="105"/>
      <c r="AG10" s="106"/>
      <c r="AH10" s="104" t="s">
        <v>100</v>
      </c>
      <c r="AI10" s="105"/>
      <c r="AJ10" s="106"/>
      <c r="AK10" s="104" t="s">
        <v>101</v>
      </c>
      <c r="AL10" s="105"/>
      <c r="AM10" s="106"/>
      <c r="AN10" s="104" t="s">
        <v>90</v>
      </c>
      <c r="AO10" s="105"/>
      <c r="AP10" s="106"/>
      <c r="AQ10" s="10"/>
      <c r="AR10" s="10"/>
      <c r="AS10" s="12"/>
    </row>
    <row r="11" spans="1:45" ht="27.75" customHeight="1" x14ac:dyDescent="0.5">
      <c r="A11" s="22" t="s">
        <v>102</v>
      </c>
      <c r="D11" s="52">
        <f>IFERROR(IF(Sweet!B39="",0,Sweet!B39),0) - SUMIF(DeurvoerSweet!I5:I16,Sweet!A39,DeurvoerSweet!J5:J16)</f>
        <v>57445</v>
      </c>
      <c r="E11" s="52">
        <f>IFERROR(IF(Bitter!B39="",0,Bitter!B39),0) - SUMIF(DeurvoerBitter!I5:I16,Bitter!A39,DeurvoerBitter!J5:J16)</f>
        <v>25697</v>
      </c>
      <c r="F11" s="52">
        <f>SUM(D11:E11)</f>
        <v>83142</v>
      </c>
      <c r="G11" s="52">
        <f>IFERROR(IF(Sweet!B40="",0,Sweet!B40),0) - SUMIF(DeurvoerSweet!I5:I16,Sweet!A40,DeurvoerSweet!J5:J16)</f>
        <v>47329</v>
      </c>
      <c r="H11" s="52">
        <f>IFERROR(IF(Bitter!B40="",0,Bitter!B40),0) - SUMIF(DeurvoerBitter!I5:I16,Bitter!A40,DeurvoerBitter!J5:J16)</f>
        <v>21678</v>
      </c>
      <c r="I11" s="52">
        <f>SUM(G11:H11)</f>
        <v>69007</v>
      </c>
      <c r="J11" s="52">
        <f>IFERROR(IF(Sweet!B41="",0,Sweet!B41),0) - SUMIF(DeurvoerSweet!I5:I16,Sweet!A41,DeurvoerSweet!J5:J16)</f>
        <v>63462</v>
      </c>
      <c r="K11" s="52">
        <f>IFERROR(IF(Bitter!B41="",0,Bitter!B41),0) - SUMIF(DeurvoerBitter!I5:I16,Bitter!A41,DeurvoerBitter!J5:J16)</f>
        <v>18608</v>
      </c>
      <c r="L11" s="52">
        <f>SUM(J11:K11)</f>
        <v>82070</v>
      </c>
      <c r="M11" s="52">
        <f>IFERROR(IF(Sweet!B42="",0,Sweet!B42),0) - SUMIF(DeurvoerSweet!I5:I16,Sweet!A42,DeurvoerSweet!J5:J16)</f>
        <v>58996</v>
      </c>
      <c r="N11" s="52">
        <f>IFERROR(IF(Bitter!B42="",0,Bitter!B42),0) - SUMIF(DeurvoerBitter!I5:I16,Bitter!A42,DeurvoerBitter!J5:J16)</f>
        <v>19339</v>
      </c>
      <c r="O11" s="52">
        <f>SUM(M11:N11)</f>
        <v>78335</v>
      </c>
      <c r="P11" s="52">
        <f>IFERROR(IF(Sweet!B43="",0,Sweet!B43),0) - SUMIF(DeurvoerSweet!I5:I16,Sweet!A43,DeurvoerSweet!J5:J16)</f>
        <v>66958</v>
      </c>
      <c r="Q11" s="52">
        <f>IFERROR(IF(Bitter!B43="",0,Bitter!B43),0) - SUMIF(DeurvoerBitter!I5:I16,Bitter!A43,DeurvoerBitter!J5:J16)</f>
        <v>19151</v>
      </c>
      <c r="R11" s="52">
        <f>SUM(P11:Q11)</f>
        <v>86109</v>
      </c>
      <c r="S11" s="52">
        <f>IFERROR(IF(Sweet!B44="",0,Sweet!B44),0) - SUMIF(DeurvoerSweet!I5:I16,Sweet!A44,DeurvoerSweet!J5:J16)</f>
        <v>65273</v>
      </c>
      <c r="T11" s="52">
        <f>IFERROR(IF(Bitter!B44="",0,Bitter!B44),0) - SUMIF(DeurvoerBitter!I5:I16,Bitter!A44,DeurvoerBitter!J5:J16)</f>
        <v>18034</v>
      </c>
      <c r="U11" s="52">
        <f>SUM(S11:T11)</f>
        <v>83307</v>
      </c>
      <c r="V11" s="52">
        <f>IFERROR(IF(Sweet!B45="",0,Sweet!B45),0) - SUMIF(DeurvoerSweet!I5:I16,Sweet!A45,DeurvoerSweet!J5:J16)</f>
        <v>56988</v>
      </c>
      <c r="W11" s="52">
        <f>IFERROR(IF(Bitter!B45="",0,Bitter!B45),0) - SUMIF(DeurvoerBitter!I5:I16,Bitter!A45,DeurvoerBitter!J5:J16)</f>
        <v>16361</v>
      </c>
      <c r="X11" s="52">
        <f>SUM(V11:W11)</f>
        <v>73349</v>
      </c>
      <c r="Y11" s="52">
        <f>IFERROR(IF(Sweet!B46="",0,Sweet!B46),0) - SUMIF(DeurvoerSweet!I5:I16,Sweet!A46,DeurvoerSweet!J5:J16)</f>
        <v>61758</v>
      </c>
      <c r="Z11" s="52">
        <f>IFERROR(IF(Bitter!B46="",0,Bitter!B46),0) - SUMIF(DeurvoerBitter!I5:I16,Bitter!A46,DeurvoerBitter!J5:J16)</f>
        <v>14387</v>
      </c>
      <c r="AA11" s="52">
        <f>SUM(Y11:Z11)</f>
        <v>76145</v>
      </c>
      <c r="AB11" s="52">
        <f>IFERROR(IF(Sweet!B47="",0,Sweet!B47),0) - SUMIF(DeurvoerSweet!I5:I16,Sweet!A47,DeurvoerSweet!J5:J16)</f>
        <v>75083</v>
      </c>
      <c r="AC11" s="52">
        <f>IFERROR(IF(Bitter!B47="",0,Bitter!B47),0) - SUMIF(DeurvoerBitter!I5:I16,Bitter!A47,DeurvoerBitter!J5:J16)</f>
        <v>12422</v>
      </c>
      <c r="AD11" s="52">
        <f>SUM(AB11:AC11)</f>
        <v>87505</v>
      </c>
      <c r="AE11" s="52">
        <f>IFERROR(IF(Sweet!B48="",0,Sweet!B48),0) - SUMIF(DeurvoerSweet!I5:I16,Sweet!A48,DeurvoerSweet!J5:J16)</f>
        <v>61955</v>
      </c>
      <c r="AF11" s="52">
        <f>IFERROR(IF(Bitter!B48="",0,Bitter!B48),0) - SUMIF(DeurvoerBitter!I5:I16,Bitter!A48,DeurvoerBitter!J5:J16)</f>
        <v>10515</v>
      </c>
      <c r="AG11" s="52">
        <f>SUM(AE11:AF11)</f>
        <v>72470</v>
      </c>
      <c r="AH11" s="52">
        <f>IFERROR(IF(Sweet!B49="",0,Sweet!B49),0) - SUMIF(DeurvoerSweet!I5:I16,Sweet!A49,DeurvoerSweet!J5:J16)</f>
        <v>54262</v>
      </c>
      <c r="AI11" s="52">
        <f>IFERROR(IF(Bitter!B49="",0,Bitter!B49),0) - SUMIF(DeurvoerBitter!I5:I16,Bitter!A49,DeurvoerBitter!J5:J16)</f>
        <v>7622</v>
      </c>
      <c r="AJ11" s="52">
        <f>SUM(AH11:AI11)</f>
        <v>61884</v>
      </c>
      <c r="AK11" s="52">
        <f>IFERROR(IF(Sweet!B50="",0,Sweet!B50),0) - SUMIF(DeurvoerSweet!I5:I16,Sweet!A50,DeurvoerSweet!J5:J16)</f>
        <v>43736</v>
      </c>
      <c r="AL11" s="52">
        <f>IFERROR(IF(Bitter!B50="",0,Bitter!B50),0) - SUMIF(DeurvoerBitter!I5:I16,Bitter!A50,DeurvoerBitter!J5:J16)</f>
        <v>4107</v>
      </c>
      <c r="AM11" s="52">
        <f>SUM(AK11:AL11)</f>
        <v>47843</v>
      </c>
      <c r="AN11" s="52">
        <f>D11</f>
        <v>57445</v>
      </c>
      <c r="AO11" s="52">
        <f>E11</f>
        <v>25697</v>
      </c>
      <c r="AP11" s="52">
        <f>SUM(AN11:AO11)</f>
        <v>83142</v>
      </c>
      <c r="AQ11" s="29"/>
      <c r="AR11" s="29"/>
      <c r="AS11" s="41" t="s">
        <v>103</v>
      </c>
    </row>
    <row r="12" spans="1:45" ht="27.75" customHeight="1" x14ac:dyDescent="0.5">
      <c r="A12" s="2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103"/>
      <c r="AO12" s="103"/>
      <c r="AP12" s="103"/>
      <c r="AQ12" s="29"/>
      <c r="AR12" s="29"/>
      <c r="AS12" s="41"/>
    </row>
    <row r="13" spans="1:45" ht="27.75" customHeight="1" x14ac:dyDescent="0.5">
      <c r="A13" s="22" t="s">
        <v>104</v>
      </c>
      <c r="D13" s="52">
        <f t="shared" ref="D13:AP13" si="0">SUM(D14:D15)</f>
        <v>1230</v>
      </c>
      <c r="E13" s="52">
        <f t="shared" si="0"/>
        <v>125</v>
      </c>
      <c r="F13" s="52">
        <f t="shared" si="0"/>
        <v>1355</v>
      </c>
      <c r="G13" s="52">
        <f t="shared" si="0"/>
        <v>31750</v>
      </c>
      <c r="H13" s="52">
        <f t="shared" si="0"/>
        <v>401</v>
      </c>
      <c r="I13" s="52">
        <f t="shared" si="0"/>
        <v>32151</v>
      </c>
      <c r="J13" s="52">
        <f t="shared" si="0"/>
        <v>8215</v>
      </c>
      <c r="K13" s="52">
        <f t="shared" si="0"/>
        <v>4887</v>
      </c>
      <c r="L13" s="52">
        <f t="shared" si="0"/>
        <v>13102</v>
      </c>
      <c r="M13" s="52">
        <f t="shared" si="0"/>
        <v>20987</v>
      </c>
      <c r="N13" s="52">
        <f t="shared" si="0"/>
        <v>5517</v>
      </c>
      <c r="O13" s="52">
        <f t="shared" si="0"/>
        <v>26504</v>
      </c>
      <c r="P13" s="52">
        <f t="shared" si="0"/>
        <v>8100</v>
      </c>
      <c r="Q13" s="52">
        <f t="shared" si="0"/>
        <v>2819</v>
      </c>
      <c r="R13" s="52">
        <f t="shared" si="0"/>
        <v>10919</v>
      </c>
      <c r="S13" s="52">
        <f t="shared" si="0"/>
        <v>5613</v>
      </c>
      <c r="T13" s="52">
        <f t="shared" si="0"/>
        <v>1672</v>
      </c>
      <c r="U13" s="52">
        <f t="shared" si="0"/>
        <v>7285</v>
      </c>
      <c r="V13" s="52">
        <f t="shared" si="0"/>
        <v>18473</v>
      </c>
      <c r="W13" s="52">
        <f t="shared" si="0"/>
        <v>316</v>
      </c>
      <c r="X13" s="52">
        <f t="shared" si="0"/>
        <v>18789</v>
      </c>
      <c r="Y13" s="52">
        <f t="shared" si="0"/>
        <v>27263</v>
      </c>
      <c r="Z13" s="52">
        <f t="shared" si="0"/>
        <v>4</v>
      </c>
      <c r="AA13" s="52">
        <f t="shared" si="0"/>
        <v>27267</v>
      </c>
      <c r="AB13" s="52">
        <f t="shared" si="0"/>
        <v>1733</v>
      </c>
      <c r="AC13" s="52">
        <f t="shared" si="0"/>
        <v>171</v>
      </c>
      <c r="AD13" s="52">
        <f t="shared" si="0"/>
        <v>1904</v>
      </c>
      <c r="AE13" s="52">
        <f t="shared" si="0"/>
        <v>1930</v>
      </c>
      <c r="AF13" s="52">
        <f t="shared" si="0"/>
        <v>31</v>
      </c>
      <c r="AG13" s="52">
        <f t="shared" si="0"/>
        <v>1961</v>
      </c>
      <c r="AH13" s="52">
        <f t="shared" si="0"/>
        <v>1472</v>
      </c>
      <c r="AI13" s="52">
        <f t="shared" si="0"/>
        <v>34</v>
      </c>
      <c r="AJ13" s="52">
        <f t="shared" si="0"/>
        <v>1506</v>
      </c>
      <c r="AK13" s="52">
        <f t="shared" si="0"/>
        <v>792</v>
      </c>
      <c r="AL13" s="52">
        <f t="shared" si="0"/>
        <v>0</v>
      </c>
      <c r="AM13" s="52">
        <f t="shared" si="0"/>
        <v>792</v>
      </c>
      <c r="AN13" s="52">
        <f t="shared" si="0"/>
        <v>127558</v>
      </c>
      <c r="AO13" s="52">
        <f t="shared" si="0"/>
        <v>15977</v>
      </c>
      <c r="AP13" s="52">
        <f t="shared" si="0"/>
        <v>143535</v>
      </c>
      <c r="AQ13" s="29"/>
      <c r="AR13" s="29"/>
      <c r="AS13" s="41" t="s">
        <v>105</v>
      </c>
    </row>
    <row r="14" spans="1:45" ht="27.75" customHeight="1" x14ac:dyDescent="0.5">
      <c r="A14" s="22"/>
      <c r="B14" s="7" t="s">
        <v>106</v>
      </c>
      <c r="C14" s="12"/>
      <c r="D14" s="53">
        <f>IFERROR(IF(Sweet!C39="",0,Sweet!C39),0)</f>
        <v>1230</v>
      </c>
      <c r="E14" s="53">
        <f>IFERROR(IF(Bitter!C39="",0,Bitter!C39),0)</f>
        <v>125</v>
      </c>
      <c r="F14" s="53">
        <f>SUM(D14:E14)</f>
        <v>1355</v>
      </c>
      <c r="G14" s="53">
        <f>IFERROR(IF(Sweet!C40="",0,Sweet!C40),0)</f>
        <v>679</v>
      </c>
      <c r="H14" s="53">
        <f>IFERROR(IF(Bitter!C40="",0,Bitter!C40),0)</f>
        <v>401</v>
      </c>
      <c r="I14" s="53">
        <f>SUM(G14:H14)</f>
        <v>1080</v>
      </c>
      <c r="J14" s="53">
        <f>IFERROR(IF(Sweet!C41="",0,Sweet!C41),0)</f>
        <v>6167</v>
      </c>
      <c r="K14" s="53">
        <f>IFERROR(IF(Bitter!C41="",0,Bitter!C41),0)</f>
        <v>4887</v>
      </c>
      <c r="L14" s="53">
        <f>SUM(J14:K14)</f>
        <v>11054</v>
      </c>
      <c r="M14" s="53">
        <f>IFERROR(IF(Sweet!C42="",0,Sweet!C42),0)</f>
        <v>20987</v>
      </c>
      <c r="N14" s="53">
        <f>IFERROR(IF(Bitter!C42="",0,Bitter!C42),0)</f>
        <v>5517</v>
      </c>
      <c r="O14" s="53">
        <f>SUM(M14:N14)</f>
        <v>26504</v>
      </c>
      <c r="P14" s="53">
        <f>IFERROR(IF(Sweet!C43="",0,Sweet!C43),0)</f>
        <v>8100</v>
      </c>
      <c r="Q14" s="53">
        <f>IFERROR(IF(Bitter!C43="",0,Bitter!C43),0)</f>
        <v>2819</v>
      </c>
      <c r="R14" s="53">
        <f>SUM(P14:Q14)</f>
        <v>10919</v>
      </c>
      <c r="S14" s="53">
        <f>IFERROR(IF(Sweet!C44="",0,Sweet!C44),0)</f>
        <v>5613</v>
      </c>
      <c r="T14" s="53">
        <f>IFERROR(IF(Bitter!C44="",0,Bitter!C44),0)</f>
        <v>1672</v>
      </c>
      <c r="U14" s="53">
        <f>SUM(S14:T14)</f>
        <v>7285</v>
      </c>
      <c r="V14" s="53">
        <f>IFERROR(IF(Sweet!C45="",0,Sweet!C45),0)</f>
        <v>2728</v>
      </c>
      <c r="W14" s="53">
        <f>IFERROR(IF(Bitter!C45="",0,Bitter!C45),0)</f>
        <v>316</v>
      </c>
      <c r="X14" s="53">
        <f>SUM(V14:W14)</f>
        <v>3044</v>
      </c>
      <c r="Y14" s="53">
        <f>IFERROR(IF(Sweet!C46="",0,Sweet!C46),0)</f>
        <v>1195</v>
      </c>
      <c r="Z14" s="53">
        <f>IFERROR(IF(Bitter!C46="",0,Bitter!C46),0)</f>
        <v>4</v>
      </c>
      <c r="AA14" s="53">
        <f>SUM(Y14:Z14)</f>
        <v>1199</v>
      </c>
      <c r="AB14" s="53">
        <f>IFERROR(IF(Sweet!C47="",0,Sweet!C47),0)</f>
        <v>1733</v>
      </c>
      <c r="AC14" s="53">
        <f>IFERROR(IF(Bitter!C47="",0,Bitter!C47),0)</f>
        <v>171</v>
      </c>
      <c r="AD14" s="53">
        <f>SUM(AB14:AC14)</f>
        <v>1904</v>
      </c>
      <c r="AE14" s="53">
        <f>IFERROR(IF(Sweet!C48="",0,Sweet!C48),0)</f>
        <v>1930</v>
      </c>
      <c r="AF14" s="53">
        <f>IFERROR(IF(Bitter!C48="",0,Bitter!C48),0)</f>
        <v>31</v>
      </c>
      <c r="AG14" s="53">
        <f>SUM(AE14:AF14)</f>
        <v>1961</v>
      </c>
      <c r="AH14" s="53">
        <f>IFERROR(IF(Sweet!C49="",0,Sweet!C49),0)</f>
        <v>1447</v>
      </c>
      <c r="AI14" s="53">
        <f>IFERROR(IF(Bitter!C49="",0,Bitter!C49),0)</f>
        <v>34</v>
      </c>
      <c r="AJ14" s="53">
        <f>SUM(AH14:AI14)</f>
        <v>1481</v>
      </c>
      <c r="AK14" s="53">
        <f>IFERROR(IF(Sweet!C50="",0,Sweet!C50),0)</f>
        <v>792</v>
      </c>
      <c r="AL14" s="53">
        <f>IFERROR(IF(Bitter!C50="",0,Bitter!C50),0)</f>
        <v>0</v>
      </c>
      <c r="AM14" s="53">
        <f>SUM(AK14:AL14)</f>
        <v>792</v>
      </c>
      <c r="AN14" s="53">
        <f>D14+G14+J14+M14+P14+S14+V14+Y14+AB14+AE14+AH14+AK14</f>
        <v>52601</v>
      </c>
      <c r="AO14" s="53">
        <f>E14+H14+K14+N14+Q14+T14+W14+Z14+AC14+AF14+AI14+AL14</f>
        <v>15977</v>
      </c>
      <c r="AP14" s="53">
        <f>SUM(AN14:AO14)</f>
        <v>68578</v>
      </c>
      <c r="AQ14" s="30"/>
      <c r="AR14" s="36" t="s">
        <v>107</v>
      </c>
      <c r="AS14" s="41"/>
    </row>
    <row r="15" spans="1:45" ht="27.75" customHeight="1" x14ac:dyDescent="0.5">
      <c r="A15" s="22"/>
      <c r="B15" s="9" t="s">
        <v>108</v>
      </c>
      <c r="C15" s="14"/>
      <c r="D15" s="54">
        <f>IFERROR(IF((Sweet!D39 + Sweet!E39)="",0,(Sweet!D39 + Sweet!E39)),0) - SUMIF(DeurvoerSweet!I5:I16,Sweet!A39,DeurvoerSweet!K5:K16)</f>
        <v>0</v>
      </c>
      <c r="E15" s="54">
        <f>IFERROR(IF((Bitter!D39 + Bitter!E39)="",0,(Bitter!D39 + Bitter!E39)),0) - SUMIF(DeurvoerBitter!I5:I16,Bitter!A39,DeurvoerBitter!K5:K16)</f>
        <v>0</v>
      </c>
      <c r="F15" s="54">
        <f>SUM(D15:E15)</f>
        <v>0</v>
      </c>
      <c r="G15" s="54">
        <f>IFERROR(IF((Sweet!D40 + Sweet!E40)="",0,(Sweet!D40 + Sweet!E40)),0) - SUMIF(DeurvoerSweet!I5:I16,Sweet!A40,DeurvoerSweet!K5:K16)</f>
        <v>31071</v>
      </c>
      <c r="H15" s="54">
        <f>IFERROR(IF((Bitter!D40 + Bitter!E40)="",0,(Bitter!D40 + Bitter!E40)),0) - SUMIF(DeurvoerBitter!I5:I16,Bitter!A40,DeurvoerBitter!K5:K16)</f>
        <v>0</v>
      </c>
      <c r="I15" s="54">
        <f>SUM(G15:H15)</f>
        <v>31071</v>
      </c>
      <c r="J15" s="54">
        <f>IFERROR(IF((Sweet!D41 + Sweet!E41)="",0,(Sweet!D41 + Sweet!E41)),0) - SUMIF(DeurvoerSweet!I5:I16,Sweet!A41,DeurvoerSweet!K5:K16)</f>
        <v>2048</v>
      </c>
      <c r="K15" s="54">
        <f>IFERROR(IF((Bitter!D41 + Bitter!E41)="",0,(Bitter!D41 + Bitter!E41)),0) - SUMIF(DeurvoerBitter!I5:I16,Bitter!A41,DeurvoerBitter!K5:K16)</f>
        <v>0</v>
      </c>
      <c r="L15" s="54">
        <f>SUM(J15:K15)</f>
        <v>2048</v>
      </c>
      <c r="M15" s="54">
        <f>IFERROR(IF((Sweet!D42 + Sweet!E42)="",0,(Sweet!D42 + Sweet!E42)),0) - SUMIF(DeurvoerSweet!I5:I16,Sweet!A42,DeurvoerSweet!K5:K16)</f>
        <v>0</v>
      </c>
      <c r="N15" s="54">
        <f>IFERROR(IF((Bitter!D42 + Bitter!E42)="",0,(Bitter!D42 + Bitter!E42)),0) - SUMIF(DeurvoerBitter!I5:I16,Bitter!A42,DeurvoerBitter!K5:K16)</f>
        <v>0</v>
      </c>
      <c r="O15" s="54">
        <f>SUM(M15:N15)</f>
        <v>0</v>
      </c>
      <c r="P15" s="54">
        <f>IFERROR(IF((Sweet!D43 + Sweet!E43)="",0,(Sweet!D43 + Sweet!E43)),0) - SUMIF(DeurvoerSweet!I5:I16,Sweet!A43,DeurvoerSweet!K5:K16)</f>
        <v>0</v>
      </c>
      <c r="Q15" s="54">
        <f>IFERROR(IF((Bitter!D43 + Bitter!E43)="",0,(Bitter!D43 + Bitter!E43)),0) - SUMIF(DeurvoerBitter!I5:I16,Bitter!A43,DeurvoerBitter!K5:K16)</f>
        <v>0</v>
      </c>
      <c r="R15" s="54">
        <f>SUM(P15:Q15)</f>
        <v>0</v>
      </c>
      <c r="S15" s="54">
        <f>IFERROR(IF((Sweet!D44 + Sweet!E44)="",0,(Sweet!D44 + Sweet!E44)),0) - SUMIF(DeurvoerSweet!I5:I16,Sweet!A44,DeurvoerSweet!K5:K16)</f>
        <v>0</v>
      </c>
      <c r="T15" s="54">
        <f>IFERROR(IF((Bitter!D44 + Bitter!E44)="",0,(Bitter!D44 + Bitter!E44)),0) - SUMIF(DeurvoerBitter!I5:I16,Bitter!A44,DeurvoerBitter!K5:K16)</f>
        <v>0</v>
      </c>
      <c r="U15" s="54">
        <f>SUM(S15:T15)</f>
        <v>0</v>
      </c>
      <c r="V15" s="54">
        <f>IFERROR(IF((Sweet!D45 + Sweet!E45)="",0,(Sweet!D45 + Sweet!E45)),0) - SUMIF(DeurvoerSweet!I5:I16,Sweet!A45,DeurvoerSweet!K5:K16)</f>
        <v>15745</v>
      </c>
      <c r="W15" s="54">
        <f>IFERROR(IF((Bitter!D45 + Bitter!E45)="",0,(Bitter!D45 + Bitter!E45)),0) - SUMIF(DeurvoerBitter!I5:I16,Bitter!A45,DeurvoerBitter!K5:K16)</f>
        <v>0</v>
      </c>
      <c r="X15" s="54">
        <f>SUM(V15:W15)</f>
        <v>15745</v>
      </c>
      <c r="Y15" s="54">
        <f>IFERROR(IF((Sweet!D46 + Sweet!E46)="",0,(Sweet!D46 + Sweet!E46)),0) - SUMIF(DeurvoerSweet!I5:I16,Sweet!A46,DeurvoerSweet!K5:K16)</f>
        <v>26068</v>
      </c>
      <c r="Z15" s="54">
        <f>IFERROR(IF((Bitter!D46 + Bitter!E46)="",0,(Bitter!D46 + Bitter!E46)),0) - SUMIF(DeurvoerBitter!I5:I16,Bitter!A46,DeurvoerBitter!K5:K16)</f>
        <v>0</v>
      </c>
      <c r="AA15" s="54">
        <f>SUM(Y15:Z15)</f>
        <v>26068</v>
      </c>
      <c r="AB15" s="54">
        <f>IFERROR(IF((Sweet!D47 + Sweet!E47)="",0,(Sweet!D47 + Sweet!E47)),0) - SUMIF(DeurvoerSweet!I5:I16,Sweet!A47,DeurvoerSweet!K5:K16)</f>
        <v>0</v>
      </c>
      <c r="AC15" s="54">
        <f>IFERROR(IF((Bitter!D47 + Bitter!E47)="",0,(Bitter!D47 + Bitter!E47)),0) - SUMIF(DeurvoerBitter!I5:I16,Bitter!A47,DeurvoerBitter!K5:K16)</f>
        <v>0</v>
      </c>
      <c r="AD15" s="54">
        <f>SUM(AB15:AC15)</f>
        <v>0</v>
      </c>
      <c r="AE15" s="54">
        <f>IFERROR(IF((Sweet!D48 + Sweet!E48)="",0,(Sweet!D48 + Sweet!E48)),0) - SUMIF(DeurvoerSweet!I5:I16,Sweet!A48,DeurvoerSweet!K5:K16)</f>
        <v>0</v>
      </c>
      <c r="AF15" s="54">
        <f>IFERROR(IF((Bitter!D48 + Bitter!E48)="",0,(Bitter!D48 + Bitter!E48)),0) - SUMIF(DeurvoerBitter!I5:I16,Bitter!A48,DeurvoerBitter!K5:K16)</f>
        <v>0</v>
      </c>
      <c r="AG15" s="54">
        <f>SUM(AE15:AF15)</f>
        <v>0</v>
      </c>
      <c r="AH15" s="54">
        <f>IFERROR(IF((Sweet!D49 + Sweet!E49)="",0,(Sweet!D49 + Sweet!E49)),0) - SUMIF(DeurvoerSweet!I5:I16,Sweet!A49,DeurvoerSweet!K5:K16)</f>
        <v>25</v>
      </c>
      <c r="AI15" s="54">
        <f>IFERROR(IF((Bitter!D49 + Bitter!E49)="",0,(Bitter!D49 + Bitter!E49)),0) - SUMIF(DeurvoerBitter!I5:I16,Bitter!A49,DeurvoerBitter!K5:K16)</f>
        <v>0</v>
      </c>
      <c r="AJ15" s="54">
        <f>SUM(AH15:AI15)</f>
        <v>25</v>
      </c>
      <c r="AK15" s="54">
        <f>IFERROR(IF((Sweet!D50 + Sweet!E50)="",0,(Sweet!D50 + Sweet!E50)),0) - SUMIF(DeurvoerSweet!I5:I16,Sweet!A50,DeurvoerSweet!K5:K16)</f>
        <v>0</v>
      </c>
      <c r="AL15" s="54">
        <f>IFERROR(IF((Bitter!D50 + Bitter!E50)="",0,(Bitter!D50 + Bitter!E50)),0) - SUMIF(DeurvoerBitter!I5:I16,Bitter!A50,DeurvoerBitter!K5:K16)</f>
        <v>0</v>
      </c>
      <c r="AM15" s="54">
        <f>SUM(AK15:AL15)</f>
        <v>0</v>
      </c>
      <c r="AN15" s="54">
        <f>D15+G15+J15+M15+P15+S15+V15+Y15+AB15+AE15+AH15+AK15</f>
        <v>74957</v>
      </c>
      <c r="AO15" s="54">
        <f>E15+H15+K15+N15+Q15+T15+W15+Z15+AC15+AF15+AI15+AL15</f>
        <v>0</v>
      </c>
      <c r="AP15" s="54">
        <f>SUM(AN15:AO15)</f>
        <v>74957</v>
      </c>
      <c r="AQ15" s="31"/>
      <c r="AR15" s="37" t="s">
        <v>109</v>
      </c>
      <c r="AS15" s="41"/>
    </row>
    <row r="16" spans="1:45" ht="27.75" customHeight="1" x14ac:dyDescent="0.5">
      <c r="A16" s="2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9"/>
      <c r="AR16" s="29"/>
      <c r="AS16" s="41"/>
    </row>
    <row r="17" spans="1:45" ht="27.75" customHeight="1" x14ac:dyDescent="0.5">
      <c r="A17" s="22" t="s">
        <v>110</v>
      </c>
      <c r="D17" s="52">
        <f t="shared" ref="D17:AP17" si="1">D18+D29+D30+D31</f>
        <v>9840</v>
      </c>
      <c r="E17" s="52">
        <f t="shared" si="1"/>
        <v>3293</v>
      </c>
      <c r="F17" s="52">
        <f t="shared" si="1"/>
        <v>13133</v>
      </c>
      <c r="G17" s="52">
        <f t="shared" si="1"/>
        <v>10050</v>
      </c>
      <c r="H17" s="52">
        <f t="shared" si="1"/>
        <v>3641</v>
      </c>
      <c r="I17" s="52">
        <f t="shared" si="1"/>
        <v>13691</v>
      </c>
      <c r="J17" s="52">
        <f t="shared" si="1"/>
        <v>13118</v>
      </c>
      <c r="K17" s="52">
        <f t="shared" si="1"/>
        <v>1874</v>
      </c>
      <c r="L17" s="52">
        <f t="shared" si="1"/>
        <v>14992</v>
      </c>
      <c r="M17" s="52">
        <f t="shared" si="1"/>
        <v>11495</v>
      </c>
      <c r="N17" s="52">
        <f t="shared" si="1"/>
        <v>5167</v>
      </c>
      <c r="O17" s="52">
        <f t="shared" si="1"/>
        <v>16662</v>
      </c>
      <c r="P17" s="52">
        <f t="shared" si="1"/>
        <v>9768</v>
      </c>
      <c r="Q17" s="52">
        <f t="shared" si="1"/>
        <v>3751</v>
      </c>
      <c r="R17" s="52">
        <f t="shared" si="1"/>
        <v>13519</v>
      </c>
      <c r="S17" s="52">
        <f t="shared" si="1"/>
        <v>12224</v>
      </c>
      <c r="T17" s="52">
        <f t="shared" si="1"/>
        <v>2911</v>
      </c>
      <c r="U17" s="52">
        <f t="shared" si="1"/>
        <v>15135</v>
      </c>
      <c r="V17" s="52">
        <f t="shared" si="1"/>
        <v>12857</v>
      </c>
      <c r="W17" s="52">
        <f t="shared" si="1"/>
        <v>1719</v>
      </c>
      <c r="X17" s="52">
        <f t="shared" si="1"/>
        <v>14576</v>
      </c>
      <c r="Y17" s="52">
        <f t="shared" si="1"/>
        <v>13204</v>
      </c>
      <c r="Z17" s="52">
        <f t="shared" si="1"/>
        <v>2013</v>
      </c>
      <c r="AA17" s="52">
        <f t="shared" si="1"/>
        <v>15217</v>
      </c>
      <c r="AB17" s="52">
        <f t="shared" si="1"/>
        <v>14339</v>
      </c>
      <c r="AC17" s="52">
        <f t="shared" si="1"/>
        <v>2181</v>
      </c>
      <c r="AD17" s="52">
        <f t="shared" si="1"/>
        <v>16520</v>
      </c>
      <c r="AE17" s="52">
        <f t="shared" si="1"/>
        <v>9656</v>
      </c>
      <c r="AF17" s="52">
        <f t="shared" si="1"/>
        <v>3128</v>
      </c>
      <c r="AG17" s="52">
        <f t="shared" si="1"/>
        <v>12784</v>
      </c>
      <c r="AH17" s="52">
        <f t="shared" si="1"/>
        <v>9328</v>
      </c>
      <c r="AI17" s="52">
        <f t="shared" si="1"/>
        <v>3881</v>
      </c>
      <c r="AJ17" s="52">
        <f t="shared" si="1"/>
        <v>13209</v>
      </c>
      <c r="AK17" s="52">
        <f t="shared" si="1"/>
        <v>12216</v>
      </c>
      <c r="AL17" s="52">
        <f t="shared" si="1"/>
        <v>514</v>
      </c>
      <c r="AM17" s="52">
        <f t="shared" si="1"/>
        <v>12730</v>
      </c>
      <c r="AN17" s="52">
        <f t="shared" si="1"/>
        <v>138095</v>
      </c>
      <c r="AO17" s="52">
        <f t="shared" si="1"/>
        <v>34073</v>
      </c>
      <c r="AP17" s="52">
        <f t="shared" si="1"/>
        <v>172168</v>
      </c>
      <c r="AQ17" s="29"/>
      <c r="AR17" s="29"/>
      <c r="AS17" s="41" t="s">
        <v>111</v>
      </c>
    </row>
    <row r="18" spans="1:45" ht="27.75" customHeight="1" x14ac:dyDescent="0.5">
      <c r="A18" s="22"/>
      <c r="B18" s="7" t="s">
        <v>112</v>
      </c>
      <c r="C18" s="12"/>
      <c r="D18" s="52">
        <f t="shared" ref="D18:AP18" si="2">D19+D25</f>
        <v>9566</v>
      </c>
      <c r="E18" s="52">
        <f t="shared" si="2"/>
        <v>3272</v>
      </c>
      <c r="F18" s="52">
        <f t="shared" si="2"/>
        <v>12838</v>
      </c>
      <c r="G18" s="52">
        <f t="shared" si="2"/>
        <v>9871</v>
      </c>
      <c r="H18" s="52">
        <f t="shared" si="2"/>
        <v>3630</v>
      </c>
      <c r="I18" s="52">
        <f t="shared" si="2"/>
        <v>13501</v>
      </c>
      <c r="J18" s="52">
        <f t="shared" si="2"/>
        <v>12970</v>
      </c>
      <c r="K18" s="52">
        <f t="shared" si="2"/>
        <v>1874</v>
      </c>
      <c r="L18" s="52">
        <f t="shared" si="2"/>
        <v>14844</v>
      </c>
      <c r="M18" s="52">
        <f t="shared" si="2"/>
        <v>11399</v>
      </c>
      <c r="N18" s="52">
        <f t="shared" si="2"/>
        <v>5056</v>
      </c>
      <c r="O18" s="52">
        <f t="shared" si="2"/>
        <v>16455</v>
      </c>
      <c r="P18" s="52">
        <f t="shared" si="2"/>
        <v>9672</v>
      </c>
      <c r="Q18" s="52">
        <f t="shared" si="2"/>
        <v>3594</v>
      </c>
      <c r="R18" s="52">
        <f t="shared" si="2"/>
        <v>13266</v>
      </c>
      <c r="S18" s="52">
        <f t="shared" si="2"/>
        <v>12170</v>
      </c>
      <c r="T18" s="52">
        <f t="shared" si="2"/>
        <v>2739</v>
      </c>
      <c r="U18" s="52">
        <f t="shared" si="2"/>
        <v>14909</v>
      </c>
      <c r="V18" s="52">
        <f t="shared" si="2"/>
        <v>12818</v>
      </c>
      <c r="W18" s="52">
        <f t="shared" si="2"/>
        <v>1719</v>
      </c>
      <c r="X18" s="52">
        <f t="shared" si="2"/>
        <v>14537</v>
      </c>
      <c r="Y18" s="52">
        <f t="shared" si="2"/>
        <v>13149</v>
      </c>
      <c r="Z18" s="52">
        <f t="shared" si="2"/>
        <v>1977</v>
      </c>
      <c r="AA18" s="52">
        <f t="shared" si="2"/>
        <v>15126</v>
      </c>
      <c r="AB18" s="52">
        <f t="shared" si="2"/>
        <v>14243</v>
      </c>
      <c r="AC18" s="52">
        <f t="shared" si="2"/>
        <v>2178</v>
      </c>
      <c r="AD18" s="52">
        <f t="shared" si="2"/>
        <v>16421</v>
      </c>
      <c r="AE18" s="52">
        <f t="shared" si="2"/>
        <v>9500</v>
      </c>
      <c r="AF18" s="52">
        <f t="shared" si="2"/>
        <v>3128</v>
      </c>
      <c r="AG18" s="52">
        <f t="shared" si="2"/>
        <v>12628</v>
      </c>
      <c r="AH18" s="52">
        <f t="shared" si="2"/>
        <v>9251</v>
      </c>
      <c r="AI18" s="52">
        <f t="shared" si="2"/>
        <v>3881</v>
      </c>
      <c r="AJ18" s="52">
        <f t="shared" si="2"/>
        <v>13132</v>
      </c>
      <c r="AK18" s="52">
        <f t="shared" si="2"/>
        <v>12144</v>
      </c>
      <c r="AL18" s="52">
        <f t="shared" si="2"/>
        <v>514</v>
      </c>
      <c r="AM18" s="52">
        <f t="shared" si="2"/>
        <v>12658</v>
      </c>
      <c r="AN18" s="52">
        <f t="shared" si="2"/>
        <v>136753</v>
      </c>
      <c r="AO18" s="52">
        <f t="shared" si="2"/>
        <v>33562</v>
      </c>
      <c r="AP18" s="52">
        <f t="shared" si="2"/>
        <v>170315</v>
      </c>
      <c r="AQ18" s="30"/>
      <c r="AR18" s="36" t="s">
        <v>113</v>
      </c>
      <c r="AS18" s="41"/>
    </row>
    <row r="19" spans="1:45" ht="27.75" customHeight="1" x14ac:dyDescent="0.5">
      <c r="A19" s="22"/>
      <c r="B19" s="8"/>
      <c r="C19" s="13" t="s">
        <v>114</v>
      </c>
      <c r="D19" s="52">
        <f t="shared" ref="D19:AP19" si="3">SUM(D20:D24)</f>
        <v>9024</v>
      </c>
      <c r="E19" s="52">
        <f t="shared" si="3"/>
        <v>2996</v>
      </c>
      <c r="F19" s="52">
        <f t="shared" si="3"/>
        <v>12020</v>
      </c>
      <c r="G19" s="52">
        <f t="shared" si="3"/>
        <v>9412</v>
      </c>
      <c r="H19" s="52">
        <f t="shared" si="3"/>
        <v>3222</v>
      </c>
      <c r="I19" s="52">
        <f t="shared" si="3"/>
        <v>12634</v>
      </c>
      <c r="J19" s="52">
        <f t="shared" si="3"/>
        <v>12362</v>
      </c>
      <c r="K19" s="52">
        <f t="shared" si="3"/>
        <v>1653</v>
      </c>
      <c r="L19" s="52">
        <f t="shared" si="3"/>
        <v>14015</v>
      </c>
      <c r="M19" s="52">
        <f t="shared" si="3"/>
        <v>10827</v>
      </c>
      <c r="N19" s="52">
        <f t="shared" si="3"/>
        <v>4904</v>
      </c>
      <c r="O19" s="52">
        <f t="shared" si="3"/>
        <v>15731</v>
      </c>
      <c r="P19" s="52">
        <f t="shared" si="3"/>
        <v>9007</v>
      </c>
      <c r="Q19" s="52">
        <f t="shared" si="3"/>
        <v>3494</v>
      </c>
      <c r="R19" s="52">
        <f t="shared" si="3"/>
        <v>12501</v>
      </c>
      <c r="S19" s="52">
        <f t="shared" si="3"/>
        <v>11561</v>
      </c>
      <c r="T19" s="52">
        <f t="shared" si="3"/>
        <v>2469</v>
      </c>
      <c r="U19" s="52">
        <f t="shared" si="3"/>
        <v>14030</v>
      </c>
      <c r="V19" s="52">
        <f t="shared" si="3"/>
        <v>12384</v>
      </c>
      <c r="W19" s="52">
        <f t="shared" si="3"/>
        <v>1358</v>
      </c>
      <c r="X19" s="52">
        <f t="shared" si="3"/>
        <v>13742</v>
      </c>
      <c r="Y19" s="52">
        <f t="shared" si="3"/>
        <v>12462</v>
      </c>
      <c r="Z19" s="52">
        <f t="shared" si="3"/>
        <v>1824</v>
      </c>
      <c r="AA19" s="52">
        <f t="shared" si="3"/>
        <v>14286</v>
      </c>
      <c r="AB19" s="52">
        <f t="shared" si="3"/>
        <v>13179</v>
      </c>
      <c r="AC19" s="52">
        <f t="shared" si="3"/>
        <v>2007</v>
      </c>
      <c r="AD19" s="52">
        <f t="shared" si="3"/>
        <v>15186</v>
      </c>
      <c r="AE19" s="52">
        <f t="shared" si="3"/>
        <v>9090</v>
      </c>
      <c r="AF19" s="52">
        <f t="shared" si="3"/>
        <v>2993</v>
      </c>
      <c r="AG19" s="52">
        <f t="shared" si="3"/>
        <v>12083</v>
      </c>
      <c r="AH19" s="52">
        <f t="shared" si="3"/>
        <v>8641</v>
      </c>
      <c r="AI19" s="52">
        <f t="shared" si="3"/>
        <v>3722</v>
      </c>
      <c r="AJ19" s="52">
        <f t="shared" si="3"/>
        <v>12363</v>
      </c>
      <c r="AK19" s="52">
        <f t="shared" si="3"/>
        <v>11546</v>
      </c>
      <c r="AL19" s="52">
        <f t="shared" si="3"/>
        <v>467</v>
      </c>
      <c r="AM19" s="52">
        <f t="shared" si="3"/>
        <v>12013</v>
      </c>
      <c r="AN19" s="52">
        <f t="shared" si="3"/>
        <v>129495</v>
      </c>
      <c r="AO19" s="52">
        <f t="shared" si="3"/>
        <v>31109</v>
      </c>
      <c r="AP19" s="52">
        <f t="shared" si="3"/>
        <v>160604</v>
      </c>
      <c r="AQ19" s="32" t="s">
        <v>115</v>
      </c>
      <c r="AR19" s="38"/>
      <c r="AS19" s="41"/>
    </row>
    <row r="20" spans="1:45" ht="27.75" customHeight="1" x14ac:dyDescent="0.5">
      <c r="A20" s="22"/>
      <c r="B20" s="8"/>
      <c r="C20" s="15" t="s">
        <v>116</v>
      </c>
      <c r="D20" s="53">
        <f>IFERROR(IF((Sweet!I39 - ProdExpSweet!B5)="",0,(Sweet!I39 - ProdExpSweet!B5)),0)</f>
        <v>10</v>
      </c>
      <c r="E20" s="53">
        <f>IFERROR(IF((Bitter!I39 - ProdExpBitter!B5)="",0,(Bitter!I39 - ProdExpBitter!B5)),0)</f>
        <v>550</v>
      </c>
      <c r="F20" s="53">
        <f>SUM(D20:E20)</f>
        <v>560</v>
      </c>
      <c r="G20" s="53">
        <f>IFERROR(IF((Sweet!I40 - ProdExpSweet!B6)="",0,(Sweet!I40 - ProdExpSweet!B6)),0)</f>
        <v>78</v>
      </c>
      <c r="H20" s="53">
        <f>IFERROR(IF((Bitter!I40 - ProdExpBitter!B6)="",0,(Bitter!I40 - ProdExpBitter!B6)),0)</f>
        <v>925</v>
      </c>
      <c r="I20" s="53">
        <f>SUM(G20:H20)</f>
        <v>1003</v>
      </c>
      <c r="J20" s="53">
        <f>IFERROR(IF((Sweet!I41 - ProdExpSweet!B7)="",0,(Sweet!I41 - ProdExpSweet!B7)),0)</f>
        <v>178</v>
      </c>
      <c r="K20" s="53">
        <f>IFERROR(IF((Bitter!I41 - ProdExpBitter!B7)="",0,(Bitter!I41 - ProdExpBitter!B7)),0)</f>
        <v>884</v>
      </c>
      <c r="L20" s="53">
        <f>SUM(J20:K20)</f>
        <v>1062</v>
      </c>
      <c r="M20" s="53">
        <f>IFERROR(IF((Sweet!I42  - ProdExpSweet!B8)="",0,(Sweet!I42 - ProdExpSweet!B8)),0)</f>
        <v>9</v>
      </c>
      <c r="N20" s="53">
        <f>IFERROR(IF((Bitter!I42 - ProdExpBitter!B8)="",0,(Bitter!I42 - ProdExpBitter!B8)),0)</f>
        <v>793</v>
      </c>
      <c r="O20" s="53">
        <f>SUM(M20:N20)</f>
        <v>802</v>
      </c>
      <c r="P20" s="53">
        <f>IFERROR(IF((Sweet!I43  - ProdExpSweet!B9)="",0,(Sweet!I43 - ProdExpSweet!B9)),0)</f>
        <v>8</v>
      </c>
      <c r="Q20" s="53">
        <f>IFERROR(IF((Bitter!I43 - ProdExpBitter!B9)="",0,(Bitter!I43 - ProdExpBitter!B9)),0)</f>
        <v>1074</v>
      </c>
      <c r="R20" s="53">
        <f>SUM(P20:Q20)</f>
        <v>1082</v>
      </c>
      <c r="S20" s="53">
        <f>IFERROR(IF((Sweet!I44  - ProdExpSweet!B10)="",0,(Sweet!I44 - ProdExpSweet!B10)),0)</f>
        <v>18</v>
      </c>
      <c r="T20" s="53">
        <f>IFERROR(IF((Bitter!I44 - ProdExpBitter!B10)="",0,(Bitter!I44 - ProdExpBitter!B10)),0)</f>
        <v>1370</v>
      </c>
      <c r="U20" s="53">
        <f>SUM(S20:T20)</f>
        <v>1388</v>
      </c>
      <c r="V20" s="53">
        <f>IFERROR(IF((Sweet!I45  - ProdExpSweet!B11)="",0,(Sweet!I45 - ProdExpSweet!B11)),0)</f>
        <v>101</v>
      </c>
      <c r="W20" s="53">
        <f>IFERROR(IF((Bitter!I45 - ProdExpBitter!B11)="",0,(Bitter!I45 - ProdExpBitter!B11)),0)</f>
        <v>914</v>
      </c>
      <c r="X20" s="53">
        <f>SUM(V20:W20)</f>
        <v>1015</v>
      </c>
      <c r="Y20" s="53">
        <f>IFERROR(IF((Sweet!I46  - ProdExpSweet!B12)="",0,(Sweet!I46 - ProdExpSweet!B12)),0)</f>
        <v>878</v>
      </c>
      <c r="Z20" s="53">
        <f>IFERROR(IF((Bitter!I46 - ProdExpBitter!B12)="",0,(Bitter!I46 - ProdExpBitter!B12)),0)</f>
        <v>407</v>
      </c>
      <c r="AA20" s="53">
        <f>SUM(Y20:Z20)</f>
        <v>1285</v>
      </c>
      <c r="AB20" s="53">
        <f>IFERROR(IF((Sweet!I47  - ProdExpSweet!B13)="",0,(Sweet!I47 - ProdExpSweet!B13)),0)</f>
        <v>714</v>
      </c>
      <c r="AC20" s="53">
        <f>IFERROR(IF((Bitter!I47 - ProdExpBitter!B13)="",0,(Bitter!I47 - ProdExpBitter!B13)),0)</f>
        <v>291</v>
      </c>
      <c r="AD20" s="53">
        <f>SUM(AB20:AC20)</f>
        <v>1005</v>
      </c>
      <c r="AE20" s="53">
        <f>IFERROR(IF((Sweet!I48  - ProdExpSweet!B14)="",0,(Sweet!I48 - ProdExpSweet!B14)),0)</f>
        <v>470</v>
      </c>
      <c r="AF20" s="53">
        <f>IFERROR(IF((Bitter!I48 - ProdExpBitter!B14)="",0,(Bitter!I48 - ProdExpBitter!B14)),0)</f>
        <v>185</v>
      </c>
      <c r="AG20" s="53">
        <f>SUM(AE20:AF20)</f>
        <v>655</v>
      </c>
      <c r="AH20" s="53">
        <f>IFERROR(IF((Sweet!I49  - ProdExpSweet!B15)="",0,(Sweet!I49 - ProdExpSweet!B15)),0)</f>
        <v>517</v>
      </c>
      <c r="AI20" s="53">
        <f>IFERROR(IF((Bitter!I49 - ProdExpBitter!B15)="",0,(Bitter!I49 - ProdExpBitter!B15)),0)</f>
        <v>424</v>
      </c>
      <c r="AJ20" s="53">
        <f>SUM(AH20:AI20)</f>
        <v>941</v>
      </c>
      <c r="AK20" s="53">
        <f>IFERROR(IF((Sweet!I50  - ProdExpSweet!B16)="",0,(Sweet!I50 - ProdExpSweet!B16)),0)</f>
        <v>633</v>
      </c>
      <c r="AL20" s="53">
        <f>IFERROR(IF((Bitter!I50 - ProdExpBitter!B16)="",0,(Bitter!I50 - ProdExpBitter!B16)),0)</f>
        <v>275</v>
      </c>
      <c r="AM20" s="53">
        <f>SUM(AK20:AL20)</f>
        <v>908</v>
      </c>
      <c r="AN20" s="53">
        <f t="shared" ref="AN20:AO24" si="4">D20+G20+J20+M20+P20+S20+V20+Y20+AB20+AE20+AH20+AK20</f>
        <v>3614</v>
      </c>
      <c r="AO20" s="53">
        <f t="shared" si="4"/>
        <v>8092</v>
      </c>
      <c r="AP20" s="53">
        <f>SUM(AN20:AO20)</f>
        <v>11706</v>
      </c>
      <c r="AQ20" s="33" t="s">
        <v>117</v>
      </c>
      <c r="AR20" s="38"/>
      <c r="AS20" s="41"/>
    </row>
    <row r="21" spans="1:45" ht="27.75" customHeight="1" x14ac:dyDescent="0.5">
      <c r="A21" s="22"/>
      <c r="B21" s="8"/>
      <c r="C21" s="21" t="s">
        <v>118</v>
      </c>
      <c r="D21" s="55">
        <f>IFERROR(IF((Sweet!J39 - ProdExpSweet!C5)="",0,(Sweet!J39 - ProdExpSweet!C5)),0)</f>
        <v>654</v>
      </c>
      <c r="E21" s="55">
        <f>IFERROR(IF((Bitter!J39 - ProdExpBitter!C5)="",0,(Bitter!J39 - ProdExpBitter!C5)),0)</f>
        <v>2390</v>
      </c>
      <c r="F21" s="55">
        <f>SUM(D21:E21)</f>
        <v>3044</v>
      </c>
      <c r="G21" s="55">
        <f>IFERROR(IF((Sweet!J40 - ProdExpSweet!C6)="",0,(Sweet!J40 - ProdExpSweet!C6)),0)</f>
        <v>1224</v>
      </c>
      <c r="H21" s="55">
        <f>IFERROR(IF((Bitter!J40 - ProdExpBitter!C6)="",0,(Bitter!J40 - ProdExpBitter!C6)),0)</f>
        <v>2222</v>
      </c>
      <c r="I21" s="55">
        <f>SUM(G21:H21)</f>
        <v>3446</v>
      </c>
      <c r="J21" s="55">
        <f>IFERROR(IF((Sweet!J41 - ProdExpSweet!C7)="",0,(Sweet!J41 - ProdExpSweet!C7)),0)</f>
        <v>4180</v>
      </c>
      <c r="K21" s="55">
        <f>IFERROR(IF((Bitter!J41 - ProdExpBitter!C7)="",0,(Bitter!J41 - ProdExpBitter!C7)),0)</f>
        <v>715</v>
      </c>
      <c r="L21" s="55">
        <f>SUM(J21:K21)</f>
        <v>4895</v>
      </c>
      <c r="M21" s="55">
        <f>IFERROR(IF((Sweet!J42 - ProdExpSweet!C8)="",0,(Sweet!J42 - ProdExpSweet!C8)),0)</f>
        <v>1639</v>
      </c>
      <c r="N21" s="55">
        <f>IFERROR(IF((Bitter!J42 - ProdExpBitter!C8)="",0,(Bitter!J42 - ProdExpBitter!C8)),0)</f>
        <v>4095</v>
      </c>
      <c r="O21" s="55">
        <f>SUM(M21:N21)</f>
        <v>5734</v>
      </c>
      <c r="P21" s="55">
        <f>IFERROR(IF((Sweet!J43 - ProdExpSweet!C9)="",0,(Sweet!J43 - ProdExpSweet!C9)),0)</f>
        <v>1042</v>
      </c>
      <c r="Q21" s="55">
        <f>IFERROR(IF((Bitter!J43 - ProdExpBitter!C9)="",0,(Bitter!J43 - ProdExpBitter!C9)),0)</f>
        <v>2352</v>
      </c>
      <c r="R21" s="55">
        <f>SUM(P21:Q21)</f>
        <v>3394</v>
      </c>
      <c r="S21" s="55">
        <f>IFERROR(IF((Sweet!J44 - ProdExpSweet!C10)="",0,(Sweet!J44 - ProdExpSweet!C10)),0)</f>
        <v>3578</v>
      </c>
      <c r="T21" s="55">
        <f>IFERROR(IF((Bitter!J44 - ProdExpBitter!C10)="",0,(Bitter!J44 - ProdExpBitter!C10)),0)</f>
        <v>1099</v>
      </c>
      <c r="U21" s="55">
        <f>SUM(S21:T21)</f>
        <v>4677</v>
      </c>
      <c r="V21" s="55">
        <f>IFERROR(IF((Sweet!J45 - ProdExpSweet!C11)="",0,(Sweet!J45 - ProdExpSweet!C11)),0)</f>
        <v>3904</v>
      </c>
      <c r="W21" s="55">
        <f>IFERROR(IF((Bitter!J45 - ProdExpBitter!C11)="",0,(Bitter!J45 - ProdExpBitter!C11)),0)</f>
        <v>315</v>
      </c>
      <c r="X21" s="55">
        <f>SUM(V21:W21)</f>
        <v>4219</v>
      </c>
      <c r="Y21" s="55">
        <f>IFERROR(IF((Sweet!J46 - ProdExpSweet!C12)="",0,(Sweet!J46 - ProdExpSweet!C12)),0)</f>
        <v>3461</v>
      </c>
      <c r="Z21" s="55">
        <f>IFERROR(IF((Bitter!J46 - ProdExpBitter!C12)="",0,(Bitter!J46 - ProdExpBitter!C12)),0)</f>
        <v>1313</v>
      </c>
      <c r="AA21" s="55">
        <f>SUM(Y21:Z21)</f>
        <v>4774</v>
      </c>
      <c r="AB21" s="55">
        <f>IFERROR(IF((Sweet!J47 - ProdExpSweet!C13)="",0,(Sweet!J47 - ProdExpSweet!C13)),0)</f>
        <v>3053</v>
      </c>
      <c r="AC21" s="55">
        <f>IFERROR(IF((Bitter!J47 - ProdExpBitter!C13)="",0,(Bitter!J47 - ProdExpBitter!C13)),0)</f>
        <v>1712</v>
      </c>
      <c r="AD21" s="55">
        <f>SUM(AB21:AC21)</f>
        <v>4765</v>
      </c>
      <c r="AE21" s="55">
        <f>IFERROR(IF((Sweet!J48 - ProdExpSweet!C14)="",0,(Sweet!J48 - ProdExpSweet!C14)),0)</f>
        <v>875</v>
      </c>
      <c r="AF21" s="55">
        <f>IFERROR(IF((Bitter!J48 - ProdExpBitter!C14)="",0,(Bitter!J48 - ProdExpBitter!C14)),0)</f>
        <v>2805</v>
      </c>
      <c r="AG21" s="55">
        <f>SUM(AE21:AF21)</f>
        <v>3680</v>
      </c>
      <c r="AH21" s="55">
        <f>IFERROR(IF((Sweet!J49 - ProdExpSweet!C15)="",0,(Sweet!J49 - ProdExpSweet!C15)),0)</f>
        <v>1173</v>
      </c>
      <c r="AI21" s="55">
        <f>IFERROR(IF((Bitter!J49 - ProdExpBitter!C15)="",0,(Bitter!J49 - ProdExpBitter!C15)),0)</f>
        <v>3298</v>
      </c>
      <c r="AJ21" s="55">
        <f>SUM(AH21:AI21)</f>
        <v>4471</v>
      </c>
      <c r="AK21" s="55">
        <f>IFERROR(IF((Sweet!J50 - ProdExpSweet!C16)="",0,(Sweet!J50 - ProdExpSweet!C16)),0)</f>
        <v>3735</v>
      </c>
      <c r="AL21" s="55">
        <f>IFERROR(IF((Bitter!J50 - ProdExpBitter!C16)="",0,(Bitter!J50 - ProdExpBitter!C16)),0)</f>
        <v>192</v>
      </c>
      <c r="AM21" s="55">
        <f>SUM(AK21:AL21)</f>
        <v>3927</v>
      </c>
      <c r="AN21" s="55">
        <f t="shared" si="4"/>
        <v>28518</v>
      </c>
      <c r="AO21" s="55">
        <f t="shared" si="4"/>
        <v>22508</v>
      </c>
      <c r="AP21" s="55">
        <f>SUM(AN21:AO21)</f>
        <v>51026</v>
      </c>
      <c r="AQ21" s="34" t="s">
        <v>119</v>
      </c>
      <c r="AR21" s="38"/>
      <c r="AS21" s="41"/>
    </row>
    <row r="22" spans="1:45" ht="27.75" customHeight="1" x14ac:dyDescent="0.5">
      <c r="A22" s="22"/>
      <c r="B22" s="8"/>
      <c r="C22" s="21" t="s">
        <v>120</v>
      </c>
      <c r="D22" s="55">
        <f>IFERROR(IF((Sweet!K39 - ProdExpSweet!D5)="",0,(Sweet!K39 - ProdExpSweet!D5)),0)</f>
        <v>8360</v>
      </c>
      <c r="E22" s="55">
        <f>IFERROR(IF((Bitter!K39 - ProdExpBitter!D5)="",0,(Bitter!K39 - ProdExpBitter!D5)),0)</f>
        <v>56</v>
      </c>
      <c r="F22" s="55">
        <f>SUM(D22:E22)</f>
        <v>8416</v>
      </c>
      <c r="G22" s="55">
        <f>IFERROR(IF((Sweet!K40 - ProdExpSweet!D6)="",0,(Sweet!K40 - ProdExpSweet!D6)),0)</f>
        <v>8110</v>
      </c>
      <c r="H22" s="55">
        <f>IFERROR(IF((Bitter!K40 - ProdExpBitter!D6)="",0,(Bitter!K40 - ProdExpBitter!D6)),0)</f>
        <v>75</v>
      </c>
      <c r="I22" s="55">
        <f>SUM(G22:H22)</f>
        <v>8185</v>
      </c>
      <c r="J22" s="55">
        <f>IFERROR(IF((Sweet!K41 - ProdExpSweet!D7)="",0,(Sweet!K41 - ProdExpSweet!D7)),0)</f>
        <v>8004</v>
      </c>
      <c r="K22" s="55">
        <f>IFERROR(IF((Bitter!K41 - ProdExpBitter!D7)="",0,(Bitter!K41 - ProdExpBitter!D7)),0)</f>
        <v>54</v>
      </c>
      <c r="L22" s="55">
        <f>SUM(J22:K22)</f>
        <v>8058</v>
      </c>
      <c r="M22" s="55">
        <f>IFERROR(IF((Sweet!K42 - ProdExpSweet!D8)="",0,(Sweet!K42 - ProdExpSweet!D8)),0)</f>
        <v>9179</v>
      </c>
      <c r="N22" s="55">
        <f>IFERROR(IF((Bitter!K42 - ProdExpBitter!D8)="",0,(Bitter!K42 - ProdExpBitter!D8)),0)</f>
        <v>16</v>
      </c>
      <c r="O22" s="55">
        <f>SUM(M22:N22)</f>
        <v>9195</v>
      </c>
      <c r="P22" s="55">
        <f>IFERROR(IF((Sweet!K43 - ProdExpSweet!D9)="",0,(Sweet!K43 - ProdExpSweet!D9)),0)</f>
        <v>7957</v>
      </c>
      <c r="Q22" s="55">
        <f>IFERROR(IF((Bitter!K43 - ProdExpBitter!D9)="",0,(Bitter!K43 - ProdExpBitter!D9)),0)</f>
        <v>68</v>
      </c>
      <c r="R22" s="55">
        <f>SUM(P22:Q22)</f>
        <v>8025</v>
      </c>
      <c r="S22" s="55">
        <f>IFERROR(IF((Sweet!K44 - ProdExpSweet!D10)="",0,(Sweet!K44 - ProdExpSweet!D10)),0)</f>
        <v>7965</v>
      </c>
      <c r="T22" s="55">
        <f>IFERROR(IF((Bitter!K44 - ProdExpBitter!D10)="",0,(Bitter!K44 - ProdExpBitter!D10)),0)</f>
        <v>0</v>
      </c>
      <c r="U22" s="55">
        <f>SUM(S22:T22)</f>
        <v>7965</v>
      </c>
      <c r="V22" s="55">
        <f>IFERROR(IF((Sweet!K45 - ProdExpSweet!D11)="",0,(Sweet!K45 - ProdExpSweet!D11)),0)</f>
        <v>8379</v>
      </c>
      <c r="W22" s="55">
        <f>IFERROR(IF((Bitter!K45 - ProdExpBitter!D11)="",0,(Bitter!K45 - ProdExpBitter!D11)),0)</f>
        <v>129</v>
      </c>
      <c r="X22" s="55">
        <f>SUM(V22:W22)</f>
        <v>8508</v>
      </c>
      <c r="Y22" s="55">
        <f>IFERROR(IF((Sweet!K46 - ProdExpSweet!D12)="",0,(Sweet!K46 - ProdExpSweet!D12)),0)</f>
        <v>8123</v>
      </c>
      <c r="Z22" s="55">
        <f>IFERROR(IF((Bitter!K46 - ProdExpBitter!D12)="",0,(Bitter!K46 - ProdExpBitter!D12)),0)</f>
        <v>104</v>
      </c>
      <c r="AA22" s="55">
        <f>SUM(Y22:Z22)</f>
        <v>8227</v>
      </c>
      <c r="AB22" s="55">
        <f>IFERROR(IF((Sweet!K47 - ProdExpSweet!D13)="",0,(Sweet!K47 - ProdExpSweet!D13)),0)</f>
        <v>9412</v>
      </c>
      <c r="AC22" s="55">
        <f>IFERROR(IF((Bitter!K47 - ProdExpBitter!D13)="",0,(Bitter!K47 - ProdExpBitter!D13)),0)</f>
        <v>4</v>
      </c>
      <c r="AD22" s="55">
        <f>SUM(AB22:AC22)</f>
        <v>9416</v>
      </c>
      <c r="AE22" s="55">
        <f>IFERROR(IF((Sweet!K48 - ProdExpSweet!D14)="",0,(Sweet!K48 - ProdExpSweet!D14)),0)</f>
        <v>7745</v>
      </c>
      <c r="AF22" s="55">
        <f>IFERROR(IF((Bitter!K48 - ProdExpBitter!D14)="",0,(Bitter!K48 - ProdExpBitter!D14)),0)</f>
        <v>3</v>
      </c>
      <c r="AG22" s="55">
        <f>SUM(AE22:AF22)</f>
        <v>7748</v>
      </c>
      <c r="AH22" s="55">
        <f>IFERROR(IF((Sweet!K49 - ProdExpSweet!D15)="",0,(Sweet!K49 - ProdExpSweet!D15)),0)</f>
        <v>6951</v>
      </c>
      <c r="AI22" s="55">
        <f>IFERROR(IF((Bitter!K49 - ProdExpBitter!D15)="",0,(Bitter!K49 - ProdExpBitter!D15)),0)</f>
        <v>0</v>
      </c>
      <c r="AJ22" s="55">
        <f>SUM(AH22:AI22)</f>
        <v>6951</v>
      </c>
      <c r="AK22" s="55">
        <f>IFERROR(IF((Sweet!K50 - ProdExpSweet!D16)="",0,(Sweet!K50 - ProdExpSweet!D16)),0)</f>
        <v>7178</v>
      </c>
      <c r="AL22" s="55">
        <f>IFERROR(IF((Bitter!K50 - ProdExpBitter!D16)="",0,(Bitter!K50 - ProdExpBitter!D16)),0)</f>
        <v>0</v>
      </c>
      <c r="AM22" s="55">
        <f>SUM(AK22:AL22)</f>
        <v>7178</v>
      </c>
      <c r="AN22" s="55">
        <f t="shared" si="4"/>
        <v>97363</v>
      </c>
      <c r="AO22" s="55">
        <f t="shared" si="4"/>
        <v>509</v>
      </c>
      <c r="AP22" s="55">
        <f>SUM(AN22:AO22)</f>
        <v>97872</v>
      </c>
      <c r="AQ22" s="34" t="s">
        <v>121</v>
      </c>
      <c r="AR22" s="38"/>
      <c r="AS22" s="41"/>
    </row>
    <row r="23" spans="1:45" ht="27.75" customHeight="1" x14ac:dyDescent="0.5">
      <c r="A23" s="22"/>
      <c r="B23" s="8"/>
      <c r="C23" s="21" t="s">
        <v>122</v>
      </c>
      <c r="D23" s="55">
        <f>IFERROR(IF((Sweet!L39 - ProdExpSweet!E5)="",0,(Sweet!L39 - ProdExpSweet!E5)),0)</f>
        <v>0</v>
      </c>
      <c r="E23" s="55">
        <f>IFERROR(IF((Bitter!L39 - ProdExpBitter!E5)="",0,(Bitter!L39 - ProdExpBitter!E5)),0)</f>
        <v>0</v>
      </c>
      <c r="F23" s="55">
        <f>SUM(D23:E23)</f>
        <v>0</v>
      </c>
      <c r="G23" s="55">
        <f>IFERROR(IF((Sweet!L40 - ProdExpSweet!E6)="",0,(Sweet!L40 - ProdExpSweet!E6)),0)</f>
        <v>0</v>
      </c>
      <c r="H23" s="55">
        <f>IFERROR(IF((Bitter!L40 - ProdExpBitter!E6)="",0,(Bitter!L40 - ProdExpBitter!E6)),0)</f>
        <v>0</v>
      </c>
      <c r="I23" s="55">
        <f>SUM(G23:H23)</f>
        <v>0</v>
      </c>
      <c r="J23" s="55">
        <f>IFERROR(IF((Sweet!L41 - ProdExpSweet!E7)="",0,(Sweet!L41 - ProdExpSweet!E7)),0)</f>
        <v>0</v>
      </c>
      <c r="K23" s="55">
        <f>IFERROR(IF((Bitter!L41 - ProdExpBitter!E7)="",0,(Bitter!L41 - ProdExpBitter!E7)),0)</f>
        <v>0</v>
      </c>
      <c r="L23" s="55">
        <f>SUM(J23:K23)</f>
        <v>0</v>
      </c>
      <c r="M23" s="55">
        <f>IFERROR(IF((Sweet!L42 - ProdExpSweet!E8)="",0,(Sweet!L42 - ProdExpSweet!E8)),0)</f>
        <v>0</v>
      </c>
      <c r="N23" s="55">
        <f>IFERROR(IF((Bitter!L42 - ProdExpBitter!E8)="",0,(Bitter!L42 - ProdExpBitter!E8)),0)</f>
        <v>0</v>
      </c>
      <c r="O23" s="55">
        <f>SUM(M23:N23)</f>
        <v>0</v>
      </c>
      <c r="P23" s="55">
        <f>IFERROR(IF((Sweet!L43 - ProdExpSweet!E9)="",0,(Sweet!L43 - ProdExpSweet!E9)),0)</f>
        <v>0</v>
      </c>
      <c r="Q23" s="55">
        <f>IFERROR(IF((Bitter!L43 - ProdExpBitter!E9)="",0,(Bitter!L43 - ProdExpBitter!E9)),0)</f>
        <v>0</v>
      </c>
      <c r="R23" s="55">
        <f>SUM(P23:Q23)</f>
        <v>0</v>
      </c>
      <c r="S23" s="55">
        <f>IFERROR(IF((Sweet!L44 - ProdExpSweet!E10)="",0,(Sweet!L44 - ProdExpSweet!E10)),0)</f>
        <v>0</v>
      </c>
      <c r="T23" s="55">
        <f>IFERROR(IF((Bitter!L44 - ProdExpBitter!E10)="",0,(Bitter!L44 - ProdExpBitter!E10)),0)</f>
        <v>0</v>
      </c>
      <c r="U23" s="55">
        <f>SUM(S23:T23)</f>
        <v>0</v>
      </c>
      <c r="V23" s="55">
        <f>IFERROR(IF((Sweet!L45 - ProdExpSweet!E11)="",0,(Sweet!L45 - ProdExpSweet!E11)),0)</f>
        <v>0</v>
      </c>
      <c r="W23" s="55">
        <f>IFERROR(IF((Bitter!L45 - ProdExpBitter!E11)="",0,(Bitter!L45 - ProdExpBitter!E11)),0)</f>
        <v>0</v>
      </c>
      <c r="X23" s="55">
        <f>SUM(V23:W23)</f>
        <v>0</v>
      </c>
      <c r="Y23" s="55">
        <f>IFERROR(IF((Sweet!L46 - ProdExpSweet!E12)="",0,(Sweet!L46 - ProdExpSweet!E12)),0)</f>
        <v>0</v>
      </c>
      <c r="Z23" s="55">
        <f>IFERROR(IF((Bitter!L46 - ProdExpBitter!E12)="",0,(Bitter!L46 - ProdExpBitter!E12)),0)</f>
        <v>0</v>
      </c>
      <c r="AA23" s="55">
        <f>SUM(Y23:Z23)</f>
        <v>0</v>
      </c>
      <c r="AB23" s="55">
        <f>IFERROR(IF((Sweet!L47 - ProdExpSweet!E13)="",0,(Sweet!L47 - ProdExpSweet!E13)),0)</f>
        <v>0</v>
      </c>
      <c r="AC23" s="55">
        <f>IFERROR(IF((Bitter!L47 - ProdExpBitter!E13)="",0,(Bitter!L47 - ProdExpBitter!E13)),0)</f>
        <v>0</v>
      </c>
      <c r="AD23" s="55">
        <f>SUM(AB23:AC23)</f>
        <v>0</v>
      </c>
      <c r="AE23" s="55">
        <f>IFERROR(IF((Sweet!L48 - ProdExpSweet!E14)="",0,(Sweet!L48 - ProdExpSweet!E14)),0)</f>
        <v>0</v>
      </c>
      <c r="AF23" s="55">
        <f>IFERROR(IF((Bitter!L48 - ProdExpBitter!E14)="",0,(Bitter!L48 - ProdExpBitter!E14)),0)</f>
        <v>0</v>
      </c>
      <c r="AG23" s="55">
        <f>SUM(AE23:AF23)</f>
        <v>0</v>
      </c>
      <c r="AH23" s="55">
        <f>IFERROR(IF((Sweet!L49 - ProdExpSweet!E15)="",0,(Sweet!L49 - ProdExpSweet!E15)),0)</f>
        <v>0</v>
      </c>
      <c r="AI23" s="55">
        <f>IFERROR(IF((Bitter!L49 - ProdExpBitter!E15)="",0,(Bitter!L49 - ProdExpBitter!E15)),0)</f>
        <v>0</v>
      </c>
      <c r="AJ23" s="55">
        <f>SUM(AH23:AI23)</f>
        <v>0</v>
      </c>
      <c r="AK23" s="55">
        <f>IFERROR(IF((Sweet!L50 - ProdExpSweet!E16)="",0,(Sweet!L50 - ProdExpSweet!E16)),0)</f>
        <v>0</v>
      </c>
      <c r="AL23" s="55">
        <f>IFERROR(IF((Bitter!L50 - ProdExpBitter!E16)="",0,(Bitter!L50 - ProdExpBitter!E16)),0)</f>
        <v>0</v>
      </c>
      <c r="AM23" s="55">
        <f>SUM(AK23:AL23)</f>
        <v>0</v>
      </c>
      <c r="AN23" s="55">
        <f t="shared" si="4"/>
        <v>0</v>
      </c>
      <c r="AO23" s="55">
        <f t="shared" si="4"/>
        <v>0</v>
      </c>
      <c r="AP23" s="55">
        <f>SUM(AN23:AO23)</f>
        <v>0</v>
      </c>
      <c r="AQ23" s="34" t="s">
        <v>123</v>
      </c>
      <c r="AR23" s="38"/>
      <c r="AS23" s="41"/>
    </row>
    <row r="24" spans="1:45" ht="27.75" customHeight="1" x14ac:dyDescent="0.5">
      <c r="A24" s="22"/>
      <c r="B24" s="8"/>
      <c r="C24" s="16" t="s">
        <v>124</v>
      </c>
      <c r="D24" s="54">
        <f>IFERROR(IF((Sweet!M39 - ProdExpSweet!F5)="",0,(Sweet!M39 - ProdExpSweet!F5)),0)</f>
        <v>0</v>
      </c>
      <c r="E24" s="54">
        <f>IFERROR(IF((Bitter!M39 - ProdExpBitter!F5)="",0,(Bitter!M39 - ProdExpBitter!F5)),0)</f>
        <v>0</v>
      </c>
      <c r="F24" s="54">
        <f>SUM(D24:E24)</f>
        <v>0</v>
      </c>
      <c r="G24" s="54">
        <f>IFERROR(IF((Sweet!M40 - ProdExpSweet!F6)="",0,(Sweet!M40 - ProdExpSweet!F6)),0)</f>
        <v>0</v>
      </c>
      <c r="H24" s="54">
        <f>IFERROR(IF((Bitter!M40 - ProdExpBitter!F6)="",0,(Bitter!M40 - ProdExpBitter!F6)),0)</f>
        <v>0</v>
      </c>
      <c r="I24" s="54">
        <f>SUM(G24:H24)</f>
        <v>0</v>
      </c>
      <c r="J24" s="54">
        <f>IFERROR(IF((Sweet!M41 - ProdExpSweet!F7)="",0,(Sweet!M41 - ProdExpSweet!F7)),0)</f>
        <v>0</v>
      </c>
      <c r="K24" s="54">
        <f>IFERROR(IF((Bitter!M41 - ProdExpBitter!F7)="",0,(Bitter!M41 - ProdExpBitter!F7)),0)</f>
        <v>0</v>
      </c>
      <c r="L24" s="54">
        <f>SUM(J24:K24)</f>
        <v>0</v>
      </c>
      <c r="M24" s="54">
        <f>IFERROR(IF((Sweet!M42 - ProdExpSweet!F8)="",0,(Sweet!M42 - ProdExpSweet!F8)),0)</f>
        <v>0</v>
      </c>
      <c r="N24" s="54">
        <f>IFERROR(IF((Bitter!M42 - ProdExpBitter!F8)="",0,(Bitter!M42 - ProdExpBitter!F8)),0)</f>
        <v>0</v>
      </c>
      <c r="O24" s="54">
        <f>SUM(M24:N24)</f>
        <v>0</v>
      </c>
      <c r="P24" s="54">
        <f>IFERROR(IF((Sweet!M43 - ProdExpSweet!F9)="",0,(Sweet!M43 - ProdExpSweet!F9)),0)</f>
        <v>0</v>
      </c>
      <c r="Q24" s="54">
        <f>IFERROR(IF((Bitter!M43 - ProdExpBitter!F9)="",0,(Bitter!M43 - ProdExpBitter!F9)),0)</f>
        <v>0</v>
      </c>
      <c r="R24" s="54">
        <f>SUM(P24:Q24)</f>
        <v>0</v>
      </c>
      <c r="S24" s="54">
        <f>IFERROR(IF((Sweet!M44 - ProdExpSweet!F10)="",0,(Sweet!M44 - ProdExpSweet!F10)),0)</f>
        <v>0</v>
      </c>
      <c r="T24" s="54">
        <f>IFERROR(IF((Bitter!M44 - ProdExpBitter!F10)="",0,(Bitter!M44 - ProdExpBitter!F10)),0)</f>
        <v>0</v>
      </c>
      <c r="U24" s="54">
        <f>SUM(S24:T24)</f>
        <v>0</v>
      </c>
      <c r="V24" s="54">
        <f>IFERROR(IF((Sweet!M45 - ProdExpSweet!F11)="",0,(Sweet!M45 - ProdExpSweet!F11)),0)</f>
        <v>0</v>
      </c>
      <c r="W24" s="54">
        <f>IFERROR(IF((Bitter!M45 - ProdExpBitter!F11)="",0,(Bitter!M45 - ProdExpBitter!F11)),0)</f>
        <v>0</v>
      </c>
      <c r="X24" s="54">
        <f>SUM(V24:W24)</f>
        <v>0</v>
      </c>
      <c r="Y24" s="54">
        <f>IFERROR(IF((Sweet!M46 - ProdExpSweet!F12)="",0,(Sweet!M46 - ProdExpSweet!F12)),0)</f>
        <v>0</v>
      </c>
      <c r="Z24" s="54">
        <f>IFERROR(IF((Bitter!M46 - ProdExpBitter!F12)="",0,(Bitter!M46 - ProdExpBitter!F12)),0)</f>
        <v>0</v>
      </c>
      <c r="AA24" s="54">
        <f>SUM(Y24:Z24)</f>
        <v>0</v>
      </c>
      <c r="AB24" s="54">
        <f>IFERROR(IF((Sweet!M47 - ProdExpSweet!F13)="",0,(Sweet!M47 - ProdExpSweet!F13)),0)</f>
        <v>0</v>
      </c>
      <c r="AC24" s="54">
        <f>IFERROR(IF((Bitter!M47 - ProdExpBitter!F13)="",0,(Bitter!M47 - ProdExpBitter!F13)),0)</f>
        <v>0</v>
      </c>
      <c r="AD24" s="54">
        <f>SUM(AB24:AC24)</f>
        <v>0</v>
      </c>
      <c r="AE24" s="54">
        <f>IFERROR(IF((Sweet!M48 - ProdExpSweet!F14)="",0,(Sweet!M48 - ProdExpSweet!F14)),0)</f>
        <v>0</v>
      </c>
      <c r="AF24" s="54">
        <f>IFERROR(IF((Bitter!M48 - ProdExpBitter!F14)="",0,(Bitter!M48 - ProdExpBitter!F14)),0)</f>
        <v>0</v>
      </c>
      <c r="AG24" s="54">
        <f>SUM(AE24:AF24)</f>
        <v>0</v>
      </c>
      <c r="AH24" s="54">
        <f>IFERROR(IF((Sweet!M49 - ProdExpSweet!F15)="",0,(Sweet!M49 - ProdExpSweet!F15)),0)</f>
        <v>0</v>
      </c>
      <c r="AI24" s="54">
        <f>IFERROR(IF((Bitter!M49 - ProdExpBitter!F15)="",0,(Bitter!M49 - ProdExpBitter!F15)),0)</f>
        <v>0</v>
      </c>
      <c r="AJ24" s="54">
        <f>SUM(AH24:AI24)</f>
        <v>0</v>
      </c>
      <c r="AK24" s="54">
        <f>IFERROR(IF((Sweet!M50 - ProdExpSweet!F16)="",0,(Sweet!M50 - ProdExpSweet!F16)),0)</f>
        <v>0</v>
      </c>
      <c r="AL24" s="54">
        <f>IFERROR(IF((Bitter!M50 - ProdExpBitter!F16)="",0,(Bitter!M50 - ProdExpBitter!F16)),0)</f>
        <v>0</v>
      </c>
      <c r="AM24" s="54">
        <f>SUM(AK24:AL24)</f>
        <v>0</v>
      </c>
      <c r="AN24" s="54">
        <f t="shared" si="4"/>
        <v>0</v>
      </c>
      <c r="AO24" s="54">
        <f t="shared" si="4"/>
        <v>0</v>
      </c>
      <c r="AP24" s="54">
        <f>SUM(AN24:AO24)</f>
        <v>0</v>
      </c>
      <c r="AQ24" s="35" t="s">
        <v>125</v>
      </c>
      <c r="AR24" s="38"/>
      <c r="AS24" s="41"/>
    </row>
    <row r="25" spans="1:45" ht="27.75" customHeight="1" x14ac:dyDescent="0.5">
      <c r="A25" s="22"/>
      <c r="B25" s="8"/>
      <c r="C25" s="13" t="s">
        <v>126</v>
      </c>
      <c r="D25" s="52">
        <f t="shared" ref="D25:AP25" si="5">SUM(D26:D28)</f>
        <v>542</v>
      </c>
      <c r="E25" s="52">
        <f t="shared" si="5"/>
        <v>276</v>
      </c>
      <c r="F25" s="52">
        <f t="shared" si="5"/>
        <v>818</v>
      </c>
      <c r="G25" s="52">
        <f t="shared" si="5"/>
        <v>459</v>
      </c>
      <c r="H25" s="52">
        <f t="shared" si="5"/>
        <v>408</v>
      </c>
      <c r="I25" s="52">
        <f t="shared" si="5"/>
        <v>867</v>
      </c>
      <c r="J25" s="52">
        <f t="shared" si="5"/>
        <v>608</v>
      </c>
      <c r="K25" s="52">
        <f t="shared" si="5"/>
        <v>221</v>
      </c>
      <c r="L25" s="52">
        <f t="shared" si="5"/>
        <v>829</v>
      </c>
      <c r="M25" s="52">
        <f t="shared" si="5"/>
        <v>572</v>
      </c>
      <c r="N25" s="52">
        <f t="shared" si="5"/>
        <v>152</v>
      </c>
      <c r="O25" s="52">
        <f t="shared" si="5"/>
        <v>724</v>
      </c>
      <c r="P25" s="52">
        <f t="shared" si="5"/>
        <v>665</v>
      </c>
      <c r="Q25" s="52">
        <f t="shared" si="5"/>
        <v>100</v>
      </c>
      <c r="R25" s="52">
        <f t="shared" si="5"/>
        <v>765</v>
      </c>
      <c r="S25" s="52">
        <f t="shared" si="5"/>
        <v>609</v>
      </c>
      <c r="T25" s="52">
        <f t="shared" si="5"/>
        <v>270</v>
      </c>
      <c r="U25" s="52">
        <f t="shared" si="5"/>
        <v>879</v>
      </c>
      <c r="V25" s="52">
        <f t="shared" si="5"/>
        <v>434</v>
      </c>
      <c r="W25" s="52">
        <f t="shared" si="5"/>
        <v>361</v>
      </c>
      <c r="X25" s="52">
        <f t="shared" si="5"/>
        <v>795</v>
      </c>
      <c r="Y25" s="52">
        <f t="shared" si="5"/>
        <v>687</v>
      </c>
      <c r="Z25" s="52">
        <f t="shared" si="5"/>
        <v>153</v>
      </c>
      <c r="AA25" s="52">
        <f t="shared" si="5"/>
        <v>840</v>
      </c>
      <c r="AB25" s="52">
        <f t="shared" si="5"/>
        <v>1064</v>
      </c>
      <c r="AC25" s="52">
        <f t="shared" si="5"/>
        <v>171</v>
      </c>
      <c r="AD25" s="52">
        <f t="shared" si="5"/>
        <v>1235</v>
      </c>
      <c r="AE25" s="52">
        <f t="shared" si="5"/>
        <v>410</v>
      </c>
      <c r="AF25" s="52">
        <f t="shared" si="5"/>
        <v>135</v>
      </c>
      <c r="AG25" s="52">
        <f t="shared" si="5"/>
        <v>545</v>
      </c>
      <c r="AH25" s="52">
        <f t="shared" si="5"/>
        <v>610</v>
      </c>
      <c r="AI25" s="52">
        <f t="shared" si="5"/>
        <v>159</v>
      </c>
      <c r="AJ25" s="52">
        <f t="shared" si="5"/>
        <v>769</v>
      </c>
      <c r="AK25" s="52">
        <f t="shared" si="5"/>
        <v>598</v>
      </c>
      <c r="AL25" s="52">
        <f t="shared" si="5"/>
        <v>47</v>
      </c>
      <c r="AM25" s="52">
        <f t="shared" si="5"/>
        <v>645</v>
      </c>
      <c r="AN25" s="52">
        <f t="shared" si="5"/>
        <v>7258</v>
      </c>
      <c r="AO25" s="52">
        <f t="shared" si="5"/>
        <v>2453</v>
      </c>
      <c r="AP25" s="52">
        <f t="shared" si="5"/>
        <v>9711</v>
      </c>
      <c r="AQ25" s="32" t="s">
        <v>127</v>
      </c>
      <c r="AR25" s="38"/>
      <c r="AS25" s="41"/>
    </row>
    <row r="26" spans="1:45" ht="27.75" customHeight="1" x14ac:dyDescent="0.5">
      <c r="A26" s="22"/>
      <c r="B26" s="8"/>
      <c r="C26" s="15" t="s">
        <v>128</v>
      </c>
      <c r="D26" s="53">
        <f>IFERROR(IF((Sweet!N39 - ProdExpSweet!G5)="",0,(Sweet!N39 - ProdExpSweet!G5)),0)</f>
        <v>92</v>
      </c>
      <c r="E26" s="53">
        <f>IFERROR(IF((Bitter!M39 - ProdExpBitter!G5)="",0,(Bitter!N39 - ProdExpBitter!G5)),0)</f>
        <v>0</v>
      </c>
      <c r="F26" s="53">
        <f t="shared" ref="F26:F31" si="6">SUM(D26:E26)</f>
        <v>92</v>
      </c>
      <c r="G26" s="53">
        <f>IFERROR(IF((Sweet!N40 - ProdExpSweet!G6)="",0,(Sweet!N40 - ProdExpSweet!G6)),0)</f>
        <v>59</v>
      </c>
      <c r="H26" s="53">
        <f>IFERROR(IF((Bitter!M40 - ProdExpBitter!G6)="",0,(Bitter!N40 - ProdExpBitter!G6)),0)</f>
        <v>32</v>
      </c>
      <c r="I26" s="53">
        <f t="shared" ref="I26:I31" si="7">SUM(G26:H26)</f>
        <v>91</v>
      </c>
      <c r="J26" s="53">
        <f>IFERROR(IF((Sweet!N41 - ProdExpSweet!G7)="",0,(Sweet!N41 - ProdExpSweet!G7)),0)</f>
        <v>44</v>
      </c>
      <c r="K26" s="53">
        <f>IFERROR(IF((Bitter!M41 - ProdExpBitter!G7)="",0,(Bitter!N41 - ProdExpBitter!G7)),0)</f>
        <v>32</v>
      </c>
      <c r="L26" s="53">
        <f t="shared" ref="L26:L31" si="8">SUM(J26:K26)</f>
        <v>76</v>
      </c>
      <c r="M26" s="53">
        <f>IFERROR(IF((Sweet!N42 - ProdExpSweet!G8)="",0,(Sweet!N42 - ProdExpSweet!G8)),0)</f>
        <v>99</v>
      </c>
      <c r="N26" s="53">
        <f>IFERROR(IF((Bitter!M42 - ProdExpBitter!G8)="",0,(Bitter!N42 - ProdExpBitter!G8)),0)</f>
        <v>0</v>
      </c>
      <c r="O26" s="53">
        <f t="shared" ref="O26:O31" si="9">SUM(M26:N26)</f>
        <v>99</v>
      </c>
      <c r="P26" s="53">
        <f>IFERROR(IF((Sweet!N43 - ProdExpSweet!G9)="",0,(Sweet!N43 - ProdExpSweet!G9)),0)</f>
        <v>88</v>
      </c>
      <c r="Q26" s="53">
        <f>IFERROR(IF((Bitter!M43 - ProdExpBitter!G9)="",0,(Bitter!N43 - ProdExpBitter!G9)),0)</f>
        <v>0</v>
      </c>
      <c r="R26" s="53">
        <f t="shared" ref="R26:R31" si="10">SUM(P26:Q26)</f>
        <v>88</v>
      </c>
      <c r="S26" s="53">
        <f>IFERROR(IF((Sweet!N44 - ProdExpSweet!G10)="",0,(Sweet!N44 - ProdExpSweet!G10)),0)</f>
        <v>87</v>
      </c>
      <c r="T26" s="53">
        <f>IFERROR(IF((Bitter!M44 - ProdExpBitter!G10)="",0,(Bitter!N44 - ProdExpBitter!G10)),0)</f>
        <v>0</v>
      </c>
      <c r="U26" s="53">
        <f t="shared" ref="U26:U31" si="11">SUM(S26:T26)</f>
        <v>87</v>
      </c>
      <c r="V26" s="53">
        <f>IFERROR(IF((Sweet!N45 - ProdExpSweet!G11)="",0,(Sweet!N45 - ProdExpSweet!G11)),0)</f>
        <v>83</v>
      </c>
      <c r="W26" s="53">
        <f>IFERROR(IF((Bitter!M45 - ProdExpBitter!G11)="",0,(Bitter!N45 - ProdExpBitter!G11)),0)</f>
        <v>0</v>
      </c>
      <c r="X26" s="53">
        <f t="shared" ref="X26:X31" si="12">SUM(V26:W26)</f>
        <v>83</v>
      </c>
      <c r="Y26" s="53">
        <f>IFERROR(IF((Sweet!N46 - ProdExpSweet!G12)="",0,(Sweet!N46 - ProdExpSweet!G12)),0)</f>
        <v>103</v>
      </c>
      <c r="Z26" s="53">
        <f>IFERROR(IF((Bitter!M46 - ProdExpBitter!G12)="",0,(Bitter!N46 - ProdExpBitter!G12)),0)</f>
        <v>0</v>
      </c>
      <c r="AA26" s="53">
        <f t="shared" ref="AA26:AA31" si="13">SUM(Y26:Z26)</f>
        <v>103</v>
      </c>
      <c r="AB26" s="53">
        <f>IFERROR(IF((Sweet!N47 - ProdExpSweet!G13)="",0,(Sweet!N47 - ProdExpSweet!G13)),0)</f>
        <v>72</v>
      </c>
      <c r="AC26" s="53">
        <f>IFERROR(IF((Bitter!M47 - ProdExpBitter!G13)="",0,(Bitter!N47 - ProdExpBitter!G13)),0)</f>
        <v>0</v>
      </c>
      <c r="AD26" s="53">
        <f t="shared" ref="AD26:AD31" si="14">SUM(AB26:AC26)</f>
        <v>72</v>
      </c>
      <c r="AE26" s="53">
        <f>IFERROR(IF((Sweet!N48 - ProdExpSweet!G14)="",0,(Sweet!N48 - ProdExpSweet!G14)),0)</f>
        <v>76</v>
      </c>
      <c r="AF26" s="53">
        <f>IFERROR(IF((Bitter!M48 - ProdExpBitter!G14)="",0,(Bitter!N48 - ProdExpBitter!G14)),0)</f>
        <v>0</v>
      </c>
      <c r="AG26" s="53">
        <f t="shared" ref="AG26:AG31" si="15">SUM(AE26:AF26)</f>
        <v>76</v>
      </c>
      <c r="AH26" s="53">
        <f>IFERROR(IF((Sweet!N49 - ProdExpSweet!G15)="",0,(Sweet!N49 - ProdExpSweet!G15)),0)</f>
        <v>72</v>
      </c>
      <c r="AI26" s="53">
        <f>IFERROR(IF((Bitter!M49 - ProdExpBitter!G15)="",0,(Bitter!N49 - ProdExpBitter!G15)),0)</f>
        <v>0</v>
      </c>
      <c r="AJ26" s="53">
        <f t="shared" ref="AJ26:AJ31" si="16">SUM(AH26:AI26)</f>
        <v>72</v>
      </c>
      <c r="AK26" s="53">
        <f>IFERROR(IF((Sweet!N50 - ProdExpSweet!G16)="",0,(Sweet!N50 - ProdExpSweet!G16)),0)</f>
        <v>62</v>
      </c>
      <c r="AL26" s="53">
        <f>IFERROR(IF((Bitter!M50 - ProdExpBitter!G16)="",0,(Bitter!N50 - ProdExpBitter!G16)),0)</f>
        <v>0</v>
      </c>
      <c r="AM26" s="53">
        <f t="shared" ref="AM26:AM31" si="17">SUM(AK26:AL26)</f>
        <v>62</v>
      </c>
      <c r="AN26" s="53">
        <f t="shared" ref="AN26:AO31" si="18">D26+G26+J26+M26+P26+S26+V26+Y26+AB26+AE26+AH26+AK26</f>
        <v>937</v>
      </c>
      <c r="AO26" s="53">
        <f t="shared" si="18"/>
        <v>64</v>
      </c>
      <c r="AP26" s="53">
        <f t="shared" ref="AP26:AP31" si="19">SUM(AN26:AO26)</f>
        <v>1001</v>
      </c>
      <c r="AQ26" s="33" t="s">
        <v>129</v>
      </c>
      <c r="AR26" s="38"/>
      <c r="AS26" s="41"/>
    </row>
    <row r="27" spans="1:45" ht="27.75" customHeight="1" x14ac:dyDescent="0.5">
      <c r="A27" s="22"/>
      <c r="B27" s="8"/>
      <c r="C27" s="21" t="s">
        <v>130</v>
      </c>
      <c r="D27" s="55">
        <f>IFERROR(IF((Sweet!O39 - ProdExpSweet!H5)="",0,(Sweet!O39 - ProdExpSweet!H5)),0)</f>
        <v>244</v>
      </c>
      <c r="E27" s="55">
        <f>IFERROR(IF((Bitter!O39 - ProdExpBitter!H5)="",0,(Bitter!O39 - ProdExpBitter!H5)),0)</f>
        <v>125</v>
      </c>
      <c r="F27" s="55">
        <f t="shared" si="6"/>
        <v>369</v>
      </c>
      <c r="G27" s="55">
        <f>IFERROR(IF((Sweet!O40 - ProdExpSweet!H6)="",0,(Sweet!O40 - ProdExpSweet!H6)),0)</f>
        <v>214</v>
      </c>
      <c r="H27" s="55">
        <f>IFERROR(IF((Bitter!O40 - ProdExpBitter!H6)="",0,(Bitter!O40 - ProdExpBitter!H6)),0)</f>
        <v>116</v>
      </c>
      <c r="I27" s="55">
        <f t="shared" si="7"/>
        <v>330</v>
      </c>
      <c r="J27" s="55">
        <f>IFERROR(IF((Sweet!O41 - ProdExpSweet!H7)="",0,(Sweet!O41 - ProdExpSweet!H7)),0)</f>
        <v>235</v>
      </c>
      <c r="K27" s="55">
        <f>IFERROR(IF((Bitter!O41 - ProdExpBitter!H7)="",0,(Bitter!O41 - ProdExpBitter!H7)),0)</f>
        <v>130</v>
      </c>
      <c r="L27" s="55">
        <f t="shared" si="8"/>
        <v>365</v>
      </c>
      <c r="M27" s="55">
        <f>IFERROR(IF((Sweet!O42 - ProdExpSweet!H8)="",0,(Sweet!O42 - ProdExpSweet!H8)),0)</f>
        <v>203</v>
      </c>
      <c r="N27" s="55">
        <f>IFERROR(IF((Bitter!O42 - ProdExpBitter!H8)="",0,(Bitter!O42 - ProdExpBitter!H8)),0)</f>
        <v>52</v>
      </c>
      <c r="O27" s="55">
        <f t="shared" si="9"/>
        <v>255</v>
      </c>
      <c r="P27" s="55">
        <f>IFERROR(IF((Sweet!O43 - ProdExpSweet!H9)="",0,(Sweet!O43 - ProdExpSweet!H9)),0)</f>
        <v>293</v>
      </c>
      <c r="Q27" s="55">
        <f>IFERROR(IF((Bitter!O43 - ProdExpBitter!H9)="",0,(Bitter!O43 - ProdExpBitter!H9)),0)</f>
        <v>23</v>
      </c>
      <c r="R27" s="55">
        <f t="shared" si="10"/>
        <v>316</v>
      </c>
      <c r="S27" s="55">
        <f>IFERROR(IF((Sweet!O44 - ProdExpSweet!H10)="",0,(Sweet!O44 - ProdExpSweet!H10)),0)</f>
        <v>258</v>
      </c>
      <c r="T27" s="55">
        <f>IFERROR(IF((Bitter!O44 - ProdExpBitter!H10)="",0,(Bitter!O44 - ProdExpBitter!H10)),0)</f>
        <v>65</v>
      </c>
      <c r="U27" s="55">
        <f t="shared" si="11"/>
        <v>323</v>
      </c>
      <c r="V27" s="55">
        <f>IFERROR(IF((Sweet!O45 - ProdExpSweet!H11)="",0,(Sweet!O45 - ProdExpSweet!H11)),0)</f>
        <v>253</v>
      </c>
      <c r="W27" s="55">
        <f>IFERROR(IF((Bitter!O45 - ProdExpBitter!H11)="",0,(Bitter!O45 - ProdExpBitter!H11)),0)</f>
        <v>34</v>
      </c>
      <c r="X27" s="55">
        <f t="shared" si="12"/>
        <v>287</v>
      </c>
      <c r="Y27" s="55">
        <f>IFERROR(IF((Sweet!O46 - ProdExpSweet!H12)="",0,(Sweet!O46 - ProdExpSweet!H12)),0)</f>
        <v>269</v>
      </c>
      <c r="Z27" s="55">
        <f>IFERROR(IF((Bitter!O46 - ProdExpBitter!H12)="",0,(Bitter!O46 - ProdExpBitter!H12)),0)</f>
        <v>50</v>
      </c>
      <c r="AA27" s="55">
        <f t="shared" si="13"/>
        <v>319</v>
      </c>
      <c r="AB27" s="55">
        <f>IFERROR(IF((Sweet!O47 - ProdExpSweet!H13)="",0,(Sweet!O47 - ProdExpSweet!H13)),0)</f>
        <v>369</v>
      </c>
      <c r="AC27" s="55">
        <f>IFERROR(IF((Bitter!O47 - ProdExpBitter!H13)="",0,(Bitter!O47 - ProdExpBitter!H13)),0)</f>
        <v>83</v>
      </c>
      <c r="AD27" s="55">
        <f t="shared" si="14"/>
        <v>452</v>
      </c>
      <c r="AE27" s="55">
        <f>IFERROR(IF((Sweet!O48 - ProdExpSweet!H14)="",0,(Sweet!O48 - ProdExpSweet!H14)),0)</f>
        <v>254</v>
      </c>
      <c r="AF27" s="55">
        <f>IFERROR(IF((Bitter!O48 - ProdExpBitter!H14)="",0,(Bitter!O48 - ProdExpBitter!H14)),0)</f>
        <v>34</v>
      </c>
      <c r="AG27" s="55">
        <f t="shared" si="15"/>
        <v>288</v>
      </c>
      <c r="AH27" s="55">
        <f>IFERROR(IF((Sweet!O49 - ProdExpSweet!H15)="",0,(Sweet!O49 - ProdExpSweet!H15)),0)</f>
        <v>298</v>
      </c>
      <c r="AI27" s="55">
        <f>IFERROR(IF((Bitter!O49 - ProdExpBitter!H15)="",0,(Bitter!O49 - ProdExpBitter!H15)),0)</f>
        <v>3</v>
      </c>
      <c r="AJ27" s="55">
        <f t="shared" si="16"/>
        <v>301</v>
      </c>
      <c r="AK27" s="55">
        <f>IFERROR(IF((Sweet!O50 - ProdExpSweet!H16)="",0,(Sweet!O50 - ProdExpSweet!H16)),0)</f>
        <v>337</v>
      </c>
      <c r="AL27" s="55">
        <f>IFERROR(IF((Bitter!O50 - ProdExpBitter!H16)="",0,(Bitter!O50 - ProdExpBitter!H16)),0)</f>
        <v>45</v>
      </c>
      <c r="AM27" s="55">
        <f t="shared" si="17"/>
        <v>382</v>
      </c>
      <c r="AN27" s="55">
        <f t="shared" si="18"/>
        <v>3227</v>
      </c>
      <c r="AO27" s="55">
        <f t="shared" si="18"/>
        <v>760</v>
      </c>
      <c r="AP27" s="55">
        <f t="shared" si="19"/>
        <v>3987</v>
      </c>
      <c r="AQ27" s="34" t="s">
        <v>131</v>
      </c>
      <c r="AR27" s="38"/>
      <c r="AS27" s="41"/>
    </row>
    <row r="28" spans="1:45" ht="27.75" customHeight="1" x14ac:dyDescent="0.5">
      <c r="A28" s="22"/>
      <c r="B28" s="8"/>
      <c r="C28" s="16" t="s">
        <v>132</v>
      </c>
      <c r="D28" s="54">
        <f>IFERROR(IF((Sweet!P39 + Sweet!Z39 - ProdExpSweet!I5)="",0,(Sweet!P39 + Sweet!Z39 - ProdExpSweet!I5)),0)</f>
        <v>206</v>
      </c>
      <c r="E28" s="54">
        <f>IFERROR(IF((Bitter!P39 + Bitter!Z39 - ProdExpBitter!I5)="",0,(Bitter!P39 + Bitter!Z39 - ProdExpBitter!I5)),0)</f>
        <v>151</v>
      </c>
      <c r="F28" s="54">
        <f t="shared" si="6"/>
        <v>357</v>
      </c>
      <c r="G28" s="54">
        <f>IFERROR(IF((Sweet!P40 + Sweet!Z40 - ProdExpSweet!I6)="",0,(Sweet!P40 + Sweet!Z40 - ProdExpSweet!I6)),0)</f>
        <v>186</v>
      </c>
      <c r="H28" s="54">
        <f>IFERROR(IF((Bitter!P40 + Bitter!Z40 - ProdExpBitter!I6)="",0,(Bitter!P40 + Bitter!Z40 - ProdExpBitter!I6)),0)</f>
        <v>260</v>
      </c>
      <c r="I28" s="54">
        <f t="shared" si="7"/>
        <v>446</v>
      </c>
      <c r="J28" s="54">
        <f>IFERROR(IF((Sweet!P41 + Sweet!Z41 - ProdExpSweet!I7)="",0,(Sweet!P41 + Sweet!Z41 - ProdExpSweet!I7)),0)</f>
        <v>329</v>
      </c>
      <c r="K28" s="54">
        <f>IFERROR(IF((Bitter!P41 + Bitter!Z41 - ProdExpBitter!I7)="",0,(Bitter!P41 + Bitter!Z41 - ProdExpBitter!I7)),0)</f>
        <v>59</v>
      </c>
      <c r="L28" s="54">
        <f t="shared" si="8"/>
        <v>388</v>
      </c>
      <c r="M28" s="54">
        <f>IFERROR(IF((Sweet!P42 + Sweet!Z42 - ProdExpSweet!I8)="",0,(Sweet!P42 + Sweet!Z42 - ProdExpSweet!I8)),0)</f>
        <v>270</v>
      </c>
      <c r="N28" s="54">
        <f>IFERROR(IF((Bitter!P42 + Bitter!Z42 - ProdExpBitter!I8)="",0,(Bitter!P42 + Bitter!Z42 - ProdExpBitter!I8)),0)</f>
        <v>100</v>
      </c>
      <c r="O28" s="54">
        <f t="shared" si="9"/>
        <v>370</v>
      </c>
      <c r="P28" s="54">
        <f>IFERROR(IF((Sweet!P43 + Sweet!Z43 - ProdExpSweet!I9)="",0,(Sweet!P43 + Sweet!Z43 - ProdExpSweet!I9)),0)</f>
        <v>284</v>
      </c>
      <c r="Q28" s="54">
        <f>IFERROR(IF((Bitter!P43 + Bitter!Z43 - ProdExpBitter!I9)="",0,(Bitter!P43 + Bitter!Z43 - ProdExpBitter!I9)),0)</f>
        <v>77</v>
      </c>
      <c r="R28" s="54">
        <f t="shared" si="10"/>
        <v>361</v>
      </c>
      <c r="S28" s="54">
        <f>IFERROR(IF((Sweet!P44 + Sweet!Z44 - ProdExpSweet!I10)="",0,(Sweet!P44 + Sweet!Z44 - ProdExpSweet!I10)),0)</f>
        <v>264</v>
      </c>
      <c r="T28" s="54">
        <f>IFERROR(IF((Bitter!P44 + Bitter!Z44 - ProdExpBitter!I10)="",0,(Bitter!P44 + Bitter!Z44 - ProdExpBitter!I10)),0)</f>
        <v>205</v>
      </c>
      <c r="U28" s="54">
        <f t="shared" si="11"/>
        <v>469</v>
      </c>
      <c r="V28" s="54">
        <f>IFERROR(IF((Sweet!P45 + Sweet!Z45 - ProdExpSweet!I11)="",0,(Sweet!P45 + Sweet!Z45 - ProdExpSweet!I11)),0)</f>
        <v>98</v>
      </c>
      <c r="W28" s="54">
        <f>IFERROR(IF((Bitter!P45 + Bitter!Z45 - ProdExpBitter!I11)="",0,(Bitter!P45 + Bitter!Z45 - ProdExpBitter!I11)),0)</f>
        <v>327</v>
      </c>
      <c r="X28" s="54">
        <f t="shared" si="12"/>
        <v>425</v>
      </c>
      <c r="Y28" s="54">
        <f>IFERROR(IF((Sweet!P46 + Sweet!Z46 - ProdExpSweet!I12)="",0,(Sweet!P46 + Sweet!Z46 - ProdExpSweet!I12)),0)</f>
        <v>315</v>
      </c>
      <c r="Z28" s="54">
        <f>IFERROR(IF((Bitter!P46 + Bitter!Z46 - ProdExpBitter!I12)="",0,(Bitter!P46 + Bitter!Z46 - ProdExpBitter!I12)),0)</f>
        <v>103</v>
      </c>
      <c r="AA28" s="54">
        <f t="shared" si="13"/>
        <v>418</v>
      </c>
      <c r="AB28" s="54">
        <f>IFERROR(IF((Sweet!P47 + Sweet!Z47 - ProdExpSweet!I13)="",0,(Sweet!P47 + Sweet!Z47 - ProdExpSweet!I13)),0)</f>
        <v>623</v>
      </c>
      <c r="AC28" s="54">
        <f>IFERROR(IF((Bitter!P47 + Bitter!Z47 - ProdExpBitter!I13)="",0,(Bitter!P47 + Bitter!Z47 - ProdExpBitter!I13)),0)</f>
        <v>88</v>
      </c>
      <c r="AD28" s="54">
        <f t="shared" si="14"/>
        <v>711</v>
      </c>
      <c r="AE28" s="54">
        <f>IFERROR(IF((Sweet!P48 + Sweet!Z48 - ProdExpSweet!I14)="",0,(Sweet!P48 + Sweet!Z48 - ProdExpSweet!I14)),0)</f>
        <v>80</v>
      </c>
      <c r="AF28" s="54">
        <f>IFERROR(IF((Bitter!P48 + Bitter!Z48 - ProdExpBitter!I14)="",0,(Bitter!P48 + Bitter!Z48 - ProdExpBitter!I14)),0)</f>
        <v>101</v>
      </c>
      <c r="AG28" s="54">
        <f t="shared" si="15"/>
        <v>181</v>
      </c>
      <c r="AH28" s="54">
        <f>IFERROR(IF((Sweet!P49 + Sweet!Z49 - ProdExpSweet!I15)="",0,(Sweet!P49 + Sweet!Z49 - ProdExpSweet!I15)),0)</f>
        <v>240</v>
      </c>
      <c r="AI28" s="54">
        <f>IFERROR(IF((Bitter!P49 + Bitter!Z49 - ProdExpBitter!I15)="",0,(Bitter!P49 + Bitter!Z49 - ProdExpBitter!I15)),0)</f>
        <v>156</v>
      </c>
      <c r="AJ28" s="54">
        <f t="shared" si="16"/>
        <v>396</v>
      </c>
      <c r="AK28" s="54">
        <f>IFERROR(IF((Sweet!P50 + Sweet!Z50 - ProdExpSweet!I16)="",0,(Sweet!P50 + Sweet!Z50 - ProdExpSweet!I16)),0)</f>
        <v>199</v>
      </c>
      <c r="AL28" s="54">
        <f>IFERROR(IF((Bitter!P50 + Bitter!Z50 - ProdExpBitter!I16)="",0,(Bitter!P50 + Bitter!Z50 - ProdExpBitter!I16)),0)</f>
        <v>2</v>
      </c>
      <c r="AM28" s="54">
        <f t="shared" si="17"/>
        <v>201</v>
      </c>
      <c r="AN28" s="54">
        <f t="shared" si="18"/>
        <v>3094</v>
      </c>
      <c r="AO28" s="54">
        <f t="shared" si="18"/>
        <v>1629</v>
      </c>
      <c r="AP28" s="54">
        <f t="shared" si="19"/>
        <v>4723</v>
      </c>
      <c r="AQ28" s="35" t="s">
        <v>133</v>
      </c>
      <c r="AR28" s="38"/>
      <c r="AS28" s="41"/>
    </row>
    <row r="29" spans="1:45" ht="27.75" customHeight="1" x14ac:dyDescent="0.5">
      <c r="A29" s="22"/>
      <c r="B29" s="8" t="s">
        <v>134</v>
      </c>
      <c r="C29" s="13"/>
      <c r="D29" s="53">
        <f>IFERROR(IF((Sweet!Q39 - ProdExpSweet!J5)="",0,(Sweet!Q39 - ProdExpSweet!J5)),0)</f>
        <v>0</v>
      </c>
      <c r="E29" s="53">
        <f>IFERROR(IF((Bitter!Q39 - ProdExpBitter!J5)="",0,(Bitter!Q39 - ProdExpBitter!J5)),0)</f>
        <v>0</v>
      </c>
      <c r="F29" s="53">
        <f t="shared" si="6"/>
        <v>0</v>
      </c>
      <c r="G29" s="53">
        <f>IFERROR(IF((Sweet!Q40 - ProdExpSweet!J6)="",0,(Sweet!Q40 - ProdExpSweet!J6)),0)</f>
        <v>0</v>
      </c>
      <c r="H29" s="53">
        <f>IFERROR(IF((Bitter!Q40 - ProdExpBitter!J6)="",0,(Bitter!Q40 - ProdExpBitter!J6)),0)</f>
        <v>0</v>
      </c>
      <c r="I29" s="53">
        <f t="shared" si="7"/>
        <v>0</v>
      </c>
      <c r="J29" s="53">
        <f>IFERROR(IF((Sweet!Q41 - ProdExpSweet!J7)="",0,(Sweet!Q41 - ProdExpSweet!J7)),0)</f>
        <v>0</v>
      </c>
      <c r="K29" s="53">
        <f>IFERROR(IF((Bitter!Q41 - ProdExpBitter!J7)="",0,(Bitter!Q41 - ProdExpBitter!J7)),0)</f>
        <v>0</v>
      </c>
      <c r="L29" s="53">
        <f t="shared" si="8"/>
        <v>0</v>
      </c>
      <c r="M29" s="53">
        <f>IFERROR(IF((Sweet!Q42 - ProdExpSweet!J8)="",0,(Sweet!Q42 - ProdExpSweet!J8)),0)</f>
        <v>0</v>
      </c>
      <c r="N29" s="53">
        <f>IFERROR(IF((Bitter!Q42 - ProdExpBitter!J8)="",0,(Bitter!Q42 - ProdExpBitter!J8)),0)</f>
        <v>0</v>
      </c>
      <c r="O29" s="53">
        <f t="shared" si="9"/>
        <v>0</v>
      </c>
      <c r="P29" s="53">
        <f>IFERROR(IF((Sweet!Q43 - ProdExpSweet!J9)="",0,(Sweet!Q43 - ProdExpSweet!J9)),0)</f>
        <v>0</v>
      </c>
      <c r="Q29" s="53">
        <f>IFERROR(IF((Bitter!Q43 - ProdExpBitter!J9)="",0,(Bitter!Q43 - ProdExpBitter!J9)),0)</f>
        <v>0</v>
      </c>
      <c r="R29" s="53">
        <f t="shared" si="10"/>
        <v>0</v>
      </c>
      <c r="S29" s="53">
        <f>IFERROR(IF((Sweet!Q44 - ProdExpSweet!J10)="",0,(Sweet!Q44 - ProdExpSweet!J10)),0)</f>
        <v>0</v>
      </c>
      <c r="T29" s="53">
        <f>IFERROR(IF((Bitter!Q44 - ProdExpBitter!J10)="",0,(Bitter!Q44 - ProdExpBitter!J10)),0)</f>
        <v>0</v>
      </c>
      <c r="U29" s="53">
        <f t="shared" si="11"/>
        <v>0</v>
      </c>
      <c r="V29" s="53">
        <f>IFERROR(IF((Sweet!Q45 - ProdExpSweet!J11)="",0,(Sweet!Q45 - ProdExpSweet!J11)),0)</f>
        <v>0</v>
      </c>
      <c r="W29" s="53">
        <f>IFERROR(IF((Bitter!Q45 - ProdExpBitter!J11)="",0,(Bitter!Q45 - ProdExpBitter!J11)),0)</f>
        <v>0</v>
      </c>
      <c r="X29" s="53">
        <f t="shared" si="12"/>
        <v>0</v>
      </c>
      <c r="Y29" s="53">
        <f>IFERROR(IF((Sweet!Q46 - ProdExpSweet!J12)="",0,(Sweet!Q46 - ProdExpSweet!J12)),0)</f>
        <v>0</v>
      </c>
      <c r="Z29" s="53">
        <f>IFERROR(IF((Bitter!Q46 - ProdExpBitter!J12)="",0,(Bitter!Q46 - ProdExpBitter!J12)),0)</f>
        <v>0</v>
      </c>
      <c r="AA29" s="53">
        <f t="shared" si="13"/>
        <v>0</v>
      </c>
      <c r="AB29" s="53">
        <f>IFERROR(IF((Sweet!Q47 - ProdExpSweet!J13)="",0,(SweetQO47 - ProdExpSweet!J13)),0)</f>
        <v>0</v>
      </c>
      <c r="AC29" s="53">
        <f>IFERROR(IF((Bitter!Q47 - ProdExpBitter!J13)="",0,(Bitter!Q47 - ProdExpBitter!J13)),0)</f>
        <v>0</v>
      </c>
      <c r="AD29" s="53">
        <f t="shared" si="14"/>
        <v>0</v>
      </c>
      <c r="AE29" s="53">
        <f>IFERROR(IF((Sweet!Q48 - ProdExpSweet!J14)="",0,(Sweet!Q48 - ProdExpSweet!J14)),0)</f>
        <v>0</v>
      </c>
      <c r="AF29" s="53">
        <f>IFERROR(IF((Bitter!Q48 - ProdExpBitter!J14)="",0,(Bitter!Q48 - ProdExpBitter!J14)),0)</f>
        <v>0</v>
      </c>
      <c r="AG29" s="53">
        <f t="shared" si="15"/>
        <v>0</v>
      </c>
      <c r="AH29" s="53">
        <f>IFERROR(IF((Sweet!Q49 - ProdExpSweet!J15)="",0,(Sweet!Q49 - ProdExpSweet!J15)),0)</f>
        <v>0</v>
      </c>
      <c r="AI29" s="53">
        <f>IFERROR(IF((Bitter!Q49 - ProdExpBitter!J15)="",0,(Bitter!Q49 - ProdExpBitter!J15)),0)</f>
        <v>0</v>
      </c>
      <c r="AJ29" s="53">
        <f t="shared" si="16"/>
        <v>0</v>
      </c>
      <c r="AK29" s="53">
        <f>IFERROR(IF((Sweet!Q50 - ProdExpSweet!J16)="",0,(Sweet!Q50 - ProdExpSweet!J16)),0)</f>
        <v>0</v>
      </c>
      <c r="AL29" s="53">
        <f>IFERROR(IF((Bitter!Q50 - ProdExpBitter!J16)="",0,(Bitter!Q50 - ProdExpBitter!J16)),0)</f>
        <v>0</v>
      </c>
      <c r="AM29" s="53">
        <f t="shared" si="17"/>
        <v>0</v>
      </c>
      <c r="AN29" s="53">
        <f t="shared" si="18"/>
        <v>0</v>
      </c>
      <c r="AO29" s="53">
        <f t="shared" si="18"/>
        <v>0</v>
      </c>
      <c r="AP29" s="53">
        <f t="shared" si="19"/>
        <v>0</v>
      </c>
      <c r="AQ29" s="32"/>
      <c r="AR29" s="38" t="s">
        <v>135</v>
      </c>
      <c r="AS29" s="41"/>
    </row>
    <row r="30" spans="1:45" ht="27.75" customHeight="1" x14ac:dyDescent="0.5">
      <c r="A30" s="22"/>
      <c r="B30" s="8" t="s">
        <v>136</v>
      </c>
      <c r="C30" s="13"/>
      <c r="D30" s="55">
        <f>IFERROR(IF(Sweet!T39="",0,Sweet!T39),0)</f>
        <v>67</v>
      </c>
      <c r="E30" s="55">
        <f>IFERROR(IF(Bitter!T39="",0,Bitter!T39),0)</f>
        <v>20</v>
      </c>
      <c r="F30" s="55">
        <f t="shared" si="6"/>
        <v>87</v>
      </c>
      <c r="G30" s="55">
        <f>IFERROR(IF(Sweet!T40="",0,Sweet!T40),0)</f>
        <v>5</v>
      </c>
      <c r="H30" s="55">
        <f>IFERROR(IF(Bitter!T40="",0,Bitter!T40),0)</f>
        <v>0</v>
      </c>
      <c r="I30" s="55">
        <f t="shared" si="7"/>
        <v>5</v>
      </c>
      <c r="J30" s="55">
        <f>IFERROR(IF(Sweet!T41="",0,Sweet!T41),0)</f>
        <v>0</v>
      </c>
      <c r="K30" s="55">
        <f>IFERROR(IF(Bitter!T41="",0,Bitter!T41),0)</f>
        <v>0</v>
      </c>
      <c r="L30" s="55">
        <f t="shared" si="8"/>
        <v>0</v>
      </c>
      <c r="M30" s="55">
        <f>IFERROR(IF(Sweet!T42="",0,Sweet!T42),0)</f>
        <v>0</v>
      </c>
      <c r="N30" s="55">
        <f>IFERROR(IF(Bitter!T42="",0,Bitter!T42),0)</f>
        <v>108</v>
      </c>
      <c r="O30" s="55">
        <f t="shared" si="9"/>
        <v>108</v>
      </c>
      <c r="P30" s="55">
        <f>IFERROR(IF(Sweet!T43="",0,Sweet!T43),0)</f>
        <v>0</v>
      </c>
      <c r="Q30" s="55">
        <f>IFERROR(IF(Bitter!T43="",0,Bitter!T43),0)</f>
        <v>131</v>
      </c>
      <c r="R30" s="55">
        <f t="shared" si="10"/>
        <v>131</v>
      </c>
      <c r="S30" s="55">
        <f>IFERROR(IF(Sweet!T44="",0,Sweet!T44),0)</f>
        <v>0</v>
      </c>
      <c r="T30" s="55">
        <f>IFERROR(IF(Bitter!T44="",0,Bitter!T44),0)</f>
        <v>172</v>
      </c>
      <c r="U30" s="55">
        <f t="shared" si="11"/>
        <v>172</v>
      </c>
      <c r="V30" s="55">
        <f>IFERROR(IF(Sweet!T45="",0,Sweet!T45),0)</f>
        <v>0</v>
      </c>
      <c r="W30" s="55">
        <f>IFERROR(IF(Bitter!T45="",0,Bitter!T45),0)</f>
        <v>0</v>
      </c>
      <c r="X30" s="55">
        <f t="shared" si="12"/>
        <v>0</v>
      </c>
      <c r="Y30" s="55">
        <f>IFERROR(IF(Sweet!T46="",0,Sweet!T46),0)</f>
        <v>0</v>
      </c>
      <c r="Z30" s="55">
        <f>IFERROR(IF(Bitter!T46="",0,Bitter!T46),0)</f>
        <v>32</v>
      </c>
      <c r="AA30" s="55">
        <f t="shared" si="13"/>
        <v>32</v>
      </c>
      <c r="AB30" s="55">
        <f>IFERROR(IF(Sweet!T47="",0,Sweet!T47),0)</f>
        <v>0</v>
      </c>
      <c r="AC30" s="55">
        <f>IFERROR(IF(Bitter!T47="",0,Bitter!T47),0)</f>
        <v>0</v>
      </c>
      <c r="AD30" s="55">
        <f t="shared" si="14"/>
        <v>0</v>
      </c>
      <c r="AE30" s="55">
        <f>IFERROR(IF(Sweet!T48="",0,Sweet!T48),0)</f>
        <v>77</v>
      </c>
      <c r="AF30" s="55">
        <f>IFERROR(IF(Bitter!T48="",0,Bitter!T48),0)</f>
        <v>0</v>
      </c>
      <c r="AG30" s="55">
        <f t="shared" si="15"/>
        <v>77</v>
      </c>
      <c r="AH30" s="55">
        <f>IFERROR(IF(Sweet!T49="",0,Sweet!T49),0)</f>
        <v>32</v>
      </c>
      <c r="AI30" s="55">
        <f>IFERROR(IF(Bitter!T49="",0,Bitter!T49),0)</f>
        <v>0</v>
      </c>
      <c r="AJ30" s="55">
        <f t="shared" si="16"/>
        <v>32</v>
      </c>
      <c r="AK30" s="55">
        <f>IFERROR(IF(Sweet!T50="",0,Sweet!T50),0)</f>
        <v>0</v>
      </c>
      <c r="AL30" s="55">
        <f>IFERROR(IF(Bitter!T50="",0,Bitter!T50),0)</f>
        <v>0</v>
      </c>
      <c r="AM30" s="55">
        <f t="shared" si="17"/>
        <v>0</v>
      </c>
      <c r="AN30" s="55">
        <f t="shared" si="18"/>
        <v>181</v>
      </c>
      <c r="AO30" s="55">
        <f t="shared" si="18"/>
        <v>463</v>
      </c>
      <c r="AP30" s="55">
        <f t="shared" si="19"/>
        <v>644</v>
      </c>
      <c r="AQ30" s="32"/>
      <c r="AR30" s="38" t="s">
        <v>137</v>
      </c>
      <c r="AS30" s="41"/>
    </row>
    <row r="31" spans="1:45" ht="27.75" customHeight="1" x14ac:dyDescent="0.5">
      <c r="A31" s="22"/>
      <c r="B31" s="9" t="s">
        <v>138</v>
      </c>
      <c r="C31" s="14"/>
      <c r="D31" s="54">
        <f>IFERROR(IF(Sweet!U39="",0,Sweet!U39),0)</f>
        <v>207</v>
      </c>
      <c r="E31" s="54">
        <f>IFERROR(IF(Bitter!U39="",0,Bitter!U39),0)</f>
        <v>1</v>
      </c>
      <c r="F31" s="54">
        <f t="shared" si="6"/>
        <v>208</v>
      </c>
      <c r="G31" s="54">
        <f>IFERROR(IF(Sweet!U40="",0,Sweet!U40),0)</f>
        <v>174</v>
      </c>
      <c r="H31" s="54">
        <f>IFERROR(IF(Bitter!U40="",0,Bitter!U40),0)</f>
        <v>11</v>
      </c>
      <c r="I31" s="54">
        <f t="shared" si="7"/>
        <v>185</v>
      </c>
      <c r="J31" s="54">
        <f>IFERROR(IF(Sweet!U41="",0,Sweet!U41),0)</f>
        <v>148</v>
      </c>
      <c r="K31" s="54">
        <f>IFERROR(IF(Bitter!U41="",0,Bitter!U41),0)</f>
        <v>0</v>
      </c>
      <c r="L31" s="54">
        <f t="shared" si="8"/>
        <v>148</v>
      </c>
      <c r="M31" s="54">
        <f>IFERROR(IF(Sweet!U42="",0,Sweet!U42),0)</f>
        <v>96</v>
      </c>
      <c r="N31" s="54">
        <f>IFERROR(IF(Bitter!U42="",0,Bitter!U42),0)</f>
        <v>3</v>
      </c>
      <c r="O31" s="54">
        <f t="shared" si="9"/>
        <v>99</v>
      </c>
      <c r="P31" s="54">
        <f>IFERROR(IF(Sweet!U43="",0,Sweet!U43),0)</f>
        <v>96</v>
      </c>
      <c r="Q31" s="54">
        <f>IFERROR(IF(Bitter!U43="",0,Bitter!U43),0)</f>
        <v>26</v>
      </c>
      <c r="R31" s="54">
        <f t="shared" si="10"/>
        <v>122</v>
      </c>
      <c r="S31" s="54">
        <f>IFERROR(IF(Sweet!U44="",0,Sweet!U44),0)</f>
        <v>54</v>
      </c>
      <c r="T31" s="54">
        <f>IFERROR(IF(Bitter!U44="",0,Bitter!U44),0)</f>
        <v>0</v>
      </c>
      <c r="U31" s="54">
        <f t="shared" si="11"/>
        <v>54</v>
      </c>
      <c r="V31" s="54">
        <f>IFERROR(IF(Sweet!U45="",0,Sweet!U45),0)</f>
        <v>39</v>
      </c>
      <c r="W31" s="54">
        <f>IFERROR(IF(Bitter!U45="",0,Bitter!U45),0)</f>
        <v>0</v>
      </c>
      <c r="X31" s="54">
        <f t="shared" si="12"/>
        <v>39</v>
      </c>
      <c r="Y31" s="54">
        <f>IFERROR(IF(Sweet!U46="",0,Sweet!U46),0)</f>
        <v>55</v>
      </c>
      <c r="Z31" s="54">
        <f>IFERROR(IF(Bitter!U46="",0,Bitter!U46),0)</f>
        <v>4</v>
      </c>
      <c r="AA31" s="54">
        <f t="shared" si="13"/>
        <v>59</v>
      </c>
      <c r="AB31" s="54">
        <f>IFERROR(IF(Sweet!U47="",0,Sweet!U47),0)</f>
        <v>96</v>
      </c>
      <c r="AC31" s="54">
        <f>IFERROR(IF(Bitter!U47="",0,Bitter!U47),0)</f>
        <v>3</v>
      </c>
      <c r="AD31" s="54">
        <f t="shared" si="14"/>
        <v>99</v>
      </c>
      <c r="AE31" s="54">
        <f>IFERROR(IF(Sweet!U48="",0,Sweet!U48),0)</f>
        <v>79</v>
      </c>
      <c r="AF31" s="54">
        <f>IFERROR(IF(Bitter!U48="",0,Bitter!U48),0)</f>
        <v>0</v>
      </c>
      <c r="AG31" s="54">
        <f t="shared" si="15"/>
        <v>79</v>
      </c>
      <c r="AH31" s="54">
        <f>IFERROR(IF(Sweet!U49="",0,Sweet!U49),0)</f>
        <v>45</v>
      </c>
      <c r="AI31" s="54">
        <f>IFERROR(IF(Bitter!U49="",0,Bitter!U49),0)</f>
        <v>0</v>
      </c>
      <c r="AJ31" s="54">
        <f t="shared" si="16"/>
        <v>45</v>
      </c>
      <c r="AK31" s="54">
        <f>IFERROR(IF(Sweet!U50="",0,Sweet!U50),0)</f>
        <v>72</v>
      </c>
      <c r="AL31" s="54">
        <f>IFERROR(IF(Bitter!U50="",0,Bitter!U50),0)</f>
        <v>0</v>
      </c>
      <c r="AM31" s="54">
        <f t="shared" si="17"/>
        <v>72</v>
      </c>
      <c r="AN31" s="54">
        <f t="shared" si="18"/>
        <v>1161</v>
      </c>
      <c r="AO31" s="54">
        <f t="shared" si="18"/>
        <v>48</v>
      </c>
      <c r="AP31" s="54">
        <f t="shared" si="19"/>
        <v>1209</v>
      </c>
      <c r="AQ31" s="31"/>
      <c r="AR31" s="37" t="s">
        <v>139</v>
      </c>
      <c r="AS31" s="41"/>
    </row>
    <row r="32" spans="1:45" ht="27.75" customHeight="1" x14ac:dyDescent="0.5">
      <c r="A32" s="2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9"/>
      <c r="AR32" s="29"/>
      <c r="AS32" s="41"/>
    </row>
    <row r="33" spans="1:45" ht="27.75" customHeight="1" x14ac:dyDescent="0.5">
      <c r="A33" s="22" t="s">
        <v>140</v>
      </c>
      <c r="D33" s="52">
        <f t="shared" ref="D33:AP33" si="20">D34+D37</f>
        <v>1147</v>
      </c>
      <c r="E33" s="52">
        <f t="shared" si="20"/>
        <v>1179</v>
      </c>
      <c r="F33" s="52">
        <f t="shared" si="20"/>
        <v>2326</v>
      </c>
      <c r="G33" s="52">
        <f t="shared" si="20"/>
        <v>2018</v>
      </c>
      <c r="H33" s="52">
        <f t="shared" si="20"/>
        <v>362</v>
      </c>
      <c r="I33" s="52">
        <f t="shared" si="20"/>
        <v>2380</v>
      </c>
      <c r="J33" s="52">
        <f t="shared" si="20"/>
        <v>699</v>
      </c>
      <c r="K33" s="52">
        <f t="shared" si="20"/>
        <v>404</v>
      </c>
      <c r="L33" s="52">
        <f t="shared" si="20"/>
        <v>1103</v>
      </c>
      <c r="M33" s="52">
        <f t="shared" si="20"/>
        <v>729</v>
      </c>
      <c r="N33" s="52">
        <f t="shared" si="20"/>
        <v>414</v>
      </c>
      <c r="O33" s="52">
        <f t="shared" si="20"/>
        <v>1143</v>
      </c>
      <c r="P33" s="52">
        <f t="shared" si="20"/>
        <v>96</v>
      </c>
      <c r="Q33" s="52">
        <f t="shared" si="20"/>
        <v>415</v>
      </c>
      <c r="R33" s="52">
        <f t="shared" si="20"/>
        <v>511</v>
      </c>
      <c r="S33" s="52">
        <f t="shared" si="20"/>
        <v>802</v>
      </c>
      <c r="T33" s="52">
        <f t="shared" si="20"/>
        <v>373</v>
      </c>
      <c r="U33" s="52">
        <f t="shared" si="20"/>
        <v>1175</v>
      </c>
      <c r="V33" s="52">
        <f t="shared" si="20"/>
        <v>974</v>
      </c>
      <c r="W33" s="52">
        <f t="shared" si="20"/>
        <v>626</v>
      </c>
      <c r="X33" s="52">
        <f t="shared" si="20"/>
        <v>1600</v>
      </c>
      <c r="Y33" s="52">
        <f t="shared" si="20"/>
        <v>350</v>
      </c>
      <c r="Z33" s="52">
        <f t="shared" si="20"/>
        <v>307</v>
      </c>
      <c r="AA33" s="52">
        <f t="shared" si="20"/>
        <v>657</v>
      </c>
      <c r="AB33" s="52">
        <f t="shared" si="20"/>
        <v>575</v>
      </c>
      <c r="AC33" s="52">
        <f t="shared" si="20"/>
        <v>0</v>
      </c>
      <c r="AD33" s="52">
        <f t="shared" si="20"/>
        <v>575</v>
      </c>
      <c r="AE33" s="52">
        <f t="shared" si="20"/>
        <v>421</v>
      </c>
      <c r="AF33" s="52">
        <f t="shared" si="20"/>
        <v>0</v>
      </c>
      <c r="AG33" s="52">
        <f t="shared" si="20"/>
        <v>421</v>
      </c>
      <c r="AH33" s="52">
        <f t="shared" si="20"/>
        <v>337</v>
      </c>
      <c r="AI33" s="52">
        <f t="shared" si="20"/>
        <v>0</v>
      </c>
      <c r="AJ33" s="52">
        <f t="shared" si="20"/>
        <v>337</v>
      </c>
      <c r="AK33" s="52">
        <f t="shared" si="20"/>
        <v>221</v>
      </c>
      <c r="AL33" s="52">
        <f t="shared" si="20"/>
        <v>200</v>
      </c>
      <c r="AM33" s="52">
        <f t="shared" si="20"/>
        <v>421</v>
      </c>
      <c r="AN33" s="52">
        <f t="shared" si="20"/>
        <v>8369</v>
      </c>
      <c r="AO33" s="52">
        <f t="shared" si="20"/>
        <v>4280</v>
      </c>
      <c r="AP33" s="52">
        <f t="shared" si="20"/>
        <v>12649</v>
      </c>
      <c r="AQ33" s="30"/>
      <c r="AR33" s="39"/>
      <c r="AS33" s="42" t="s">
        <v>141</v>
      </c>
    </row>
    <row r="34" spans="1:45" ht="27.75" customHeight="1" x14ac:dyDescent="0.5">
      <c r="A34" s="22"/>
      <c r="B34" s="7" t="s">
        <v>142</v>
      </c>
      <c r="C34" s="12"/>
      <c r="D34" s="52">
        <f t="shared" ref="D34:AP34" si="21">SUM(D35:D36)</f>
        <v>0</v>
      </c>
      <c r="E34" s="52">
        <f t="shared" si="21"/>
        <v>344</v>
      </c>
      <c r="F34" s="52">
        <f t="shared" si="21"/>
        <v>344</v>
      </c>
      <c r="G34" s="52">
        <f t="shared" si="21"/>
        <v>23</v>
      </c>
      <c r="H34" s="52">
        <f t="shared" si="21"/>
        <v>362</v>
      </c>
      <c r="I34" s="52">
        <f t="shared" si="21"/>
        <v>385</v>
      </c>
      <c r="J34" s="52">
        <f t="shared" si="21"/>
        <v>0</v>
      </c>
      <c r="K34" s="52">
        <f t="shared" si="21"/>
        <v>404</v>
      </c>
      <c r="L34" s="52">
        <f t="shared" si="21"/>
        <v>404</v>
      </c>
      <c r="M34" s="52">
        <f t="shared" si="21"/>
        <v>108</v>
      </c>
      <c r="N34" s="52">
        <f t="shared" si="21"/>
        <v>414</v>
      </c>
      <c r="O34" s="52">
        <f t="shared" si="21"/>
        <v>522</v>
      </c>
      <c r="P34" s="52">
        <f t="shared" si="21"/>
        <v>60</v>
      </c>
      <c r="Q34" s="52">
        <f t="shared" si="21"/>
        <v>415</v>
      </c>
      <c r="R34" s="52">
        <f t="shared" si="21"/>
        <v>475</v>
      </c>
      <c r="S34" s="52">
        <f t="shared" si="21"/>
        <v>77</v>
      </c>
      <c r="T34" s="52">
        <f t="shared" si="21"/>
        <v>373</v>
      </c>
      <c r="U34" s="52">
        <f t="shared" si="21"/>
        <v>450</v>
      </c>
      <c r="V34" s="52">
        <f t="shared" si="21"/>
        <v>135</v>
      </c>
      <c r="W34" s="52">
        <f t="shared" si="21"/>
        <v>401</v>
      </c>
      <c r="X34" s="52">
        <f t="shared" si="21"/>
        <v>536</v>
      </c>
      <c r="Y34" s="52">
        <f t="shared" si="21"/>
        <v>335</v>
      </c>
      <c r="Z34" s="52">
        <f t="shared" si="21"/>
        <v>153</v>
      </c>
      <c r="AA34" s="52">
        <f t="shared" si="21"/>
        <v>488</v>
      </c>
      <c r="AB34" s="52">
        <f t="shared" si="21"/>
        <v>572</v>
      </c>
      <c r="AC34" s="52">
        <f t="shared" si="21"/>
        <v>0</v>
      </c>
      <c r="AD34" s="52">
        <f t="shared" si="21"/>
        <v>572</v>
      </c>
      <c r="AE34" s="52">
        <f t="shared" si="21"/>
        <v>387</v>
      </c>
      <c r="AF34" s="52">
        <f t="shared" si="21"/>
        <v>0</v>
      </c>
      <c r="AG34" s="52">
        <f t="shared" si="21"/>
        <v>387</v>
      </c>
      <c r="AH34" s="52">
        <f t="shared" si="21"/>
        <v>328</v>
      </c>
      <c r="AI34" s="52">
        <f t="shared" si="21"/>
        <v>0</v>
      </c>
      <c r="AJ34" s="52">
        <f t="shared" si="21"/>
        <v>328</v>
      </c>
      <c r="AK34" s="52">
        <f t="shared" si="21"/>
        <v>116</v>
      </c>
      <c r="AL34" s="52">
        <f t="shared" si="21"/>
        <v>200</v>
      </c>
      <c r="AM34" s="52">
        <f t="shared" si="21"/>
        <v>316</v>
      </c>
      <c r="AN34" s="52">
        <f t="shared" si="21"/>
        <v>2141</v>
      </c>
      <c r="AO34" s="52">
        <f t="shared" si="21"/>
        <v>3066</v>
      </c>
      <c r="AP34" s="52">
        <f t="shared" si="21"/>
        <v>5207</v>
      </c>
      <c r="AQ34" s="30"/>
      <c r="AR34" s="36" t="s">
        <v>143</v>
      </c>
      <c r="AS34" s="41"/>
    </row>
    <row r="35" spans="1:45" ht="27.75" customHeight="1" x14ac:dyDescent="0.5">
      <c r="A35" s="22"/>
      <c r="B35" s="8"/>
      <c r="C35" s="15" t="s">
        <v>144</v>
      </c>
      <c r="D35" s="53">
        <f>IFERROR(IF(Sweet!AD39="",0,Sweet!AD39),0)</f>
        <v>0</v>
      </c>
      <c r="E35" s="53">
        <f>IFERROR(IF(Bitter!AD39="",0,Bitter!AD39),0)</f>
        <v>344</v>
      </c>
      <c r="F35" s="53">
        <f>SUM(D35:E35)</f>
        <v>344</v>
      </c>
      <c r="G35" s="53">
        <f>IFERROR(IF(Sweet!AD40="",0,Sweet!AD40),0)</f>
        <v>23</v>
      </c>
      <c r="H35" s="53">
        <f>IFERROR(IF(Bitter!AD40="",0,Bitter!AD40),0)</f>
        <v>362</v>
      </c>
      <c r="I35" s="53">
        <f>SUM(G35:H35)</f>
        <v>385</v>
      </c>
      <c r="J35" s="53">
        <f>IFERROR(IF(Sweet!AD41="",0,Sweet!AD41),0)</f>
        <v>0</v>
      </c>
      <c r="K35" s="53">
        <f>IFERROR(IF(Bitter!AD41="",0,Bitter!AD41),0)</f>
        <v>404</v>
      </c>
      <c r="L35" s="53">
        <f>SUM(J35:K35)</f>
        <v>404</v>
      </c>
      <c r="M35" s="53">
        <f>IFERROR(IF(Sweet!AD42="",0,Sweet!AD42),0)</f>
        <v>108</v>
      </c>
      <c r="N35" s="53">
        <f>IFERROR(IF(Bitter!AD42="",0,Bitter!AD42),0)</f>
        <v>414</v>
      </c>
      <c r="O35" s="53">
        <f>SUM(M35:N35)</f>
        <v>522</v>
      </c>
      <c r="P35" s="53">
        <f>IFERROR(IF(Sweet!AD43="",0,Sweet!AD43),0)</f>
        <v>60</v>
      </c>
      <c r="Q35" s="53">
        <f>IFERROR(IF(Bitter!AD43="",0,Bitter!AD43),0)</f>
        <v>415</v>
      </c>
      <c r="R35" s="53">
        <f>SUM(P35:Q35)</f>
        <v>475</v>
      </c>
      <c r="S35" s="53">
        <f>IFERROR(IF(Sweet!AD44="",0,Sweet!AD44),0)</f>
        <v>77</v>
      </c>
      <c r="T35" s="53">
        <f>IFERROR(IF(Bitter!AD44="",0,Bitter!AD44),0)</f>
        <v>373</v>
      </c>
      <c r="U35" s="53">
        <f>SUM(S35:T35)</f>
        <v>450</v>
      </c>
      <c r="V35" s="53">
        <f>IFERROR(IF(Sweet!AD45="",0,Sweet!AD45),0)</f>
        <v>135</v>
      </c>
      <c r="W35" s="53">
        <f>IFERROR(IF(Bitter!AD45="",0,Bitter!AD45),0)</f>
        <v>401</v>
      </c>
      <c r="X35" s="53">
        <f>SUM(V35:W35)</f>
        <v>536</v>
      </c>
      <c r="Y35" s="53">
        <f>IFERROR(IF(Sweet!AD46="",0,Sweet!AD46),0)</f>
        <v>335</v>
      </c>
      <c r="Z35" s="53">
        <f>IFERROR(IF(Bitter!AD46="",0,Bitter!AD46),0)</f>
        <v>153</v>
      </c>
      <c r="AA35" s="53">
        <f>SUM(Y35:Z35)</f>
        <v>488</v>
      </c>
      <c r="AB35" s="53">
        <f>IFERROR(IF(Sweet!AD47="",0,Sweet!AD47),0)</f>
        <v>572</v>
      </c>
      <c r="AC35" s="53">
        <f>IFERROR(IF(Bitter!AD47="",0,Bitter!AD47),0)</f>
        <v>0</v>
      </c>
      <c r="AD35" s="53">
        <f>SUM(AB35:AC35)</f>
        <v>572</v>
      </c>
      <c r="AE35" s="53">
        <f>IFERROR(IF(Sweet!AD48="",0,Sweet!AD48),0)</f>
        <v>387</v>
      </c>
      <c r="AF35" s="53">
        <f>IFERROR(IF(Bitter!AD48="",0,Bitter!AD48),0)</f>
        <v>0</v>
      </c>
      <c r="AG35" s="53">
        <f>SUM(AE35:AF35)</f>
        <v>387</v>
      </c>
      <c r="AH35" s="53">
        <f>IFERROR(IF(Sweet!AD49="",0,Sweet!AD49),0)</f>
        <v>328</v>
      </c>
      <c r="AI35" s="53">
        <f>IFERROR(IF(Bitter!AD49="",0,Bitter!AD49),0)</f>
        <v>0</v>
      </c>
      <c r="AJ35" s="53">
        <f>SUM(AH35:AI35)</f>
        <v>328</v>
      </c>
      <c r="AK35" s="53">
        <f>IFERROR(IF(Sweet!AD50="",0,Sweet!AD50),0)</f>
        <v>116</v>
      </c>
      <c r="AL35" s="53">
        <f>IFERROR(IF(Bitter!AD50="",0,Bitter!AD50),0)</f>
        <v>200</v>
      </c>
      <c r="AM35" s="53">
        <f>SUM(AK35:AL35)</f>
        <v>316</v>
      </c>
      <c r="AN35" s="53">
        <f>D35+G35+J35+M35+P35+S35+V35+Y35+AB35+AE35+AH35+AK35</f>
        <v>2141</v>
      </c>
      <c r="AO35" s="53">
        <f>E35+H35+K35+N35+Q35+T35+W35+Z35+AC35+AF35+AI35+AL35</f>
        <v>3066</v>
      </c>
      <c r="AP35" s="53">
        <f>SUM(AN35:AO35)</f>
        <v>5207</v>
      </c>
      <c r="AQ35" s="33" t="s">
        <v>145</v>
      </c>
      <c r="AR35" s="38"/>
      <c r="AS35" s="41"/>
    </row>
    <row r="36" spans="1:45" ht="27.75" customHeight="1" x14ac:dyDescent="0.5">
      <c r="A36" s="22"/>
      <c r="B36" s="8"/>
      <c r="C36" s="16" t="s">
        <v>146</v>
      </c>
      <c r="D36" s="54">
        <f>IFERROR(IF(Sweet!AE39="",0,Sweet!Y39),0)</f>
        <v>0</v>
      </c>
      <c r="E36" s="54">
        <f>IFERROR(IF(Bitter!AE39="",0,Bitter!AE39),0)</f>
        <v>0</v>
      </c>
      <c r="F36" s="54">
        <f>SUM(D36:E36)</f>
        <v>0</v>
      </c>
      <c r="G36" s="54">
        <f>IFERROR(IF(Sweet!AE40="",0,Sweet!Y40),0)</f>
        <v>0</v>
      </c>
      <c r="H36" s="54">
        <f>IFERROR(IF(Bitter!AE40="",0,Bitter!AE40),0)</f>
        <v>0</v>
      </c>
      <c r="I36" s="54">
        <f>SUM(G36:H36)</f>
        <v>0</v>
      </c>
      <c r="J36" s="54">
        <f>IFERROR(IF(Sweet!AE41="",0,Sweet!Y41),0)</f>
        <v>0</v>
      </c>
      <c r="K36" s="54">
        <f>IFERROR(IF(Bitter!AE41="",0,Bitter!AE41),0)</f>
        <v>0</v>
      </c>
      <c r="L36" s="54">
        <f>SUM(J36:K36)</f>
        <v>0</v>
      </c>
      <c r="M36" s="54">
        <f>IFERROR(IF(Sweet!AE42="",0,Sweet!Y42),0)</f>
        <v>0</v>
      </c>
      <c r="N36" s="54">
        <f>IFERROR(IF(Bitter!AE42="",0,Bitter!AE42),0)</f>
        <v>0</v>
      </c>
      <c r="O36" s="54">
        <f>SUM(M36:N36)</f>
        <v>0</v>
      </c>
      <c r="P36" s="54">
        <f>IFERROR(IF(Sweet!AE43="",0,Sweet!Y43),0)</f>
        <v>0</v>
      </c>
      <c r="Q36" s="54">
        <f>IFERROR(IF(Bitter!AE43="",0,Bitter!AE43),0)</f>
        <v>0</v>
      </c>
      <c r="R36" s="54">
        <f>SUM(P36:Q36)</f>
        <v>0</v>
      </c>
      <c r="S36" s="54">
        <f>IFERROR(IF(Sweet!AE44="",0,Sweet!Y44),0)</f>
        <v>0</v>
      </c>
      <c r="T36" s="54">
        <f>IFERROR(IF(Bitter!AE44="",0,Bitter!AE44),0)</f>
        <v>0</v>
      </c>
      <c r="U36" s="54">
        <f>SUM(S36:T36)</f>
        <v>0</v>
      </c>
      <c r="V36" s="54">
        <f>IFERROR(IF(Sweet!AE45="",0,Sweet!Y45),0)</f>
        <v>0</v>
      </c>
      <c r="W36" s="54">
        <f>IFERROR(IF(Bitter!AE45="",0,Bitter!AE45),0)</f>
        <v>0</v>
      </c>
      <c r="X36" s="54">
        <f>SUM(V36:W36)</f>
        <v>0</v>
      </c>
      <c r="Y36" s="54">
        <f>IFERROR(IF(Sweet!AE46="",0,Sweet!Y46),0)</f>
        <v>0</v>
      </c>
      <c r="Z36" s="54">
        <f>IFERROR(IF(Bitter!AE46="",0,Bitter!AE46),0)</f>
        <v>0</v>
      </c>
      <c r="AA36" s="54">
        <f>SUM(Y36:Z36)</f>
        <v>0</v>
      </c>
      <c r="AB36" s="54">
        <f>IFERROR(IF(Sweet!AE47="",0,Sweet!Y47),0)</f>
        <v>0</v>
      </c>
      <c r="AC36" s="54">
        <f>IFERROR(IF(Bitter!AE47="",0,Bitter!AE47),0)</f>
        <v>0</v>
      </c>
      <c r="AD36" s="54">
        <f>SUM(AB36:AC36)</f>
        <v>0</v>
      </c>
      <c r="AE36" s="54">
        <f>IFERROR(IF(Sweet!AE48="",0,Sweet!Y48),0)</f>
        <v>0</v>
      </c>
      <c r="AF36" s="54">
        <f>IFERROR(IF(Bitter!AE48="",0,Bitter!AE48),0)</f>
        <v>0</v>
      </c>
      <c r="AG36" s="54">
        <f>SUM(AE36:AF36)</f>
        <v>0</v>
      </c>
      <c r="AH36" s="54">
        <f>IFERROR(IF(Sweet!AE49="",0,Sweet!Y49),0)</f>
        <v>0</v>
      </c>
      <c r="AI36" s="54">
        <f>IFERROR(IF(Bitter!AE49="",0,Bitter!AE49),0)</f>
        <v>0</v>
      </c>
      <c r="AJ36" s="54">
        <f>SUM(AH36:AI36)</f>
        <v>0</v>
      </c>
      <c r="AK36" s="54">
        <f>IFERROR(IF(Sweet!AE50="",0,Sweet!Y50),0)</f>
        <v>0</v>
      </c>
      <c r="AL36" s="54">
        <f>IFERROR(IF(Bitter!AE50="",0,Bitter!AE50),0)</f>
        <v>0</v>
      </c>
      <c r="AM36" s="54">
        <f>SUM(AK36:AL36)</f>
        <v>0</v>
      </c>
      <c r="AN36" s="54">
        <f>D36+G36+J36+M36+P36+S36+V36+Y36+AB36+AE36+AH36+AK36</f>
        <v>0</v>
      </c>
      <c r="AO36" s="54">
        <f>E36+H36+K36+N36+Q36+T36+W36+Z36+AC36+AF36+AI36+AL36</f>
        <v>0</v>
      </c>
      <c r="AP36" s="54">
        <f>SUM(AN36:AO36)</f>
        <v>0</v>
      </c>
      <c r="AQ36" s="35" t="s">
        <v>147</v>
      </c>
      <c r="AR36" s="38"/>
      <c r="AS36" s="41"/>
    </row>
    <row r="37" spans="1:45" ht="27.75" customHeight="1" x14ac:dyDescent="0.5">
      <c r="A37" s="22"/>
      <c r="B37" s="8" t="s">
        <v>148</v>
      </c>
      <c r="C37" s="13"/>
      <c r="D37" s="52">
        <f t="shared" ref="D37:AP37" si="22">SUM(D38:D39)</f>
        <v>1147</v>
      </c>
      <c r="E37" s="52">
        <f t="shared" si="22"/>
        <v>835</v>
      </c>
      <c r="F37" s="52">
        <f t="shared" si="22"/>
        <v>1982</v>
      </c>
      <c r="G37" s="52">
        <f t="shared" si="22"/>
        <v>1995</v>
      </c>
      <c r="H37" s="52">
        <f t="shared" si="22"/>
        <v>0</v>
      </c>
      <c r="I37" s="52">
        <f t="shared" si="22"/>
        <v>1995</v>
      </c>
      <c r="J37" s="52">
        <f t="shared" si="22"/>
        <v>699</v>
      </c>
      <c r="K37" s="52">
        <f t="shared" si="22"/>
        <v>0</v>
      </c>
      <c r="L37" s="52">
        <f t="shared" si="22"/>
        <v>699</v>
      </c>
      <c r="M37" s="52">
        <f t="shared" si="22"/>
        <v>621</v>
      </c>
      <c r="N37" s="52">
        <f t="shared" si="22"/>
        <v>0</v>
      </c>
      <c r="O37" s="52">
        <f t="shared" si="22"/>
        <v>621</v>
      </c>
      <c r="P37" s="52">
        <f t="shared" si="22"/>
        <v>36</v>
      </c>
      <c r="Q37" s="52">
        <f t="shared" si="22"/>
        <v>0</v>
      </c>
      <c r="R37" s="52">
        <f t="shared" si="22"/>
        <v>36</v>
      </c>
      <c r="S37" s="52">
        <f t="shared" si="22"/>
        <v>725</v>
      </c>
      <c r="T37" s="52">
        <f t="shared" si="22"/>
        <v>0</v>
      </c>
      <c r="U37" s="52">
        <f t="shared" si="22"/>
        <v>725</v>
      </c>
      <c r="V37" s="52">
        <f t="shared" si="22"/>
        <v>839</v>
      </c>
      <c r="W37" s="52">
        <f t="shared" si="22"/>
        <v>225</v>
      </c>
      <c r="X37" s="52">
        <f t="shared" si="22"/>
        <v>1064</v>
      </c>
      <c r="Y37" s="52">
        <f t="shared" si="22"/>
        <v>15</v>
      </c>
      <c r="Z37" s="52">
        <f t="shared" si="22"/>
        <v>154</v>
      </c>
      <c r="AA37" s="52">
        <f t="shared" si="22"/>
        <v>169</v>
      </c>
      <c r="AB37" s="52">
        <f t="shared" si="22"/>
        <v>3</v>
      </c>
      <c r="AC37" s="52">
        <f t="shared" si="22"/>
        <v>0</v>
      </c>
      <c r="AD37" s="52">
        <f t="shared" si="22"/>
        <v>3</v>
      </c>
      <c r="AE37" s="52">
        <f t="shared" si="22"/>
        <v>34</v>
      </c>
      <c r="AF37" s="52">
        <f t="shared" si="22"/>
        <v>0</v>
      </c>
      <c r="AG37" s="52">
        <f t="shared" si="22"/>
        <v>34</v>
      </c>
      <c r="AH37" s="52">
        <f t="shared" si="22"/>
        <v>9</v>
      </c>
      <c r="AI37" s="52">
        <f t="shared" si="22"/>
        <v>0</v>
      </c>
      <c r="AJ37" s="52">
        <f t="shared" si="22"/>
        <v>9</v>
      </c>
      <c r="AK37" s="52">
        <f t="shared" si="22"/>
        <v>105</v>
      </c>
      <c r="AL37" s="52">
        <f t="shared" si="22"/>
        <v>0</v>
      </c>
      <c r="AM37" s="52">
        <f t="shared" si="22"/>
        <v>105</v>
      </c>
      <c r="AN37" s="52">
        <f t="shared" si="22"/>
        <v>6228</v>
      </c>
      <c r="AO37" s="52">
        <f t="shared" si="22"/>
        <v>1214</v>
      </c>
      <c r="AP37" s="52">
        <f t="shared" si="22"/>
        <v>7442</v>
      </c>
      <c r="AQ37" s="32" t="s">
        <v>149</v>
      </c>
      <c r="AR37" s="38"/>
      <c r="AS37" s="41"/>
    </row>
    <row r="38" spans="1:45" ht="27.75" customHeight="1" x14ac:dyDescent="0.5">
      <c r="A38" s="22"/>
      <c r="B38" s="8"/>
      <c r="C38" s="15" t="s">
        <v>150</v>
      </c>
      <c r="D38" s="53">
        <f>IFERROR(IF(Sweet!R39="",0,Sweet!R39),0) - SUMIF(DeurvoerSweet!A21:A32,Sweet!A39,DeurvoerSweet!C21:C32)</f>
        <v>1147</v>
      </c>
      <c r="E38" s="53">
        <f>IFERROR(IF(Bitter!R39="",0,Bitter!R39),0) - SUMIF(DeurvoerBitter!A21:A32,Bitter!A39,DeurvoerBitter!C21:C32)</f>
        <v>835</v>
      </c>
      <c r="F38" s="53">
        <f>SUM(D38:E38)</f>
        <v>1982</v>
      </c>
      <c r="G38" s="53">
        <f>IFERROR(IF(Sweet!R40="",0,Sweet!R40),0) - SUMIF(DeurvoerSweet!A21:A32,Sweet!A40,DeurvoerSweet!C21:C32)</f>
        <v>1995</v>
      </c>
      <c r="H38" s="53">
        <f>IFERROR(IF(Bitter!R40="",0,Bitter!R40),0) - SUMIF(DeurvoerBitter!A21:A32,Bitter!A40,DeurvoerBitter!C21:C32)</f>
        <v>0</v>
      </c>
      <c r="I38" s="53">
        <f>SUM(G38:H38)</f>
        <v>1995</v>
      </c>
      <c r="J38" s="53">
        <f>IFERROR(IF(Sweet!R41="",0,Sweet!R41),0) - SUMIF(DeurvoerSweet!A21:A32,Sweet!A41,DeurvoerSweet!C21:C32)</f>
        <v>699</v>
      </c>
      <c r="K38" s="53">
        <f>IFERROR(IF(Bitter!R41="",0,Bitter!R41),0) - SUMIF(DeurvoerBitter!A21:A32,Bitter!A41,DeurvoerBitter!C21:C32)</f>
        <v>0</v>
      </c>
      <c r="L38" s="53">
        <f>SUM(J38:K38)</f>
        <v>699</v>
      </c>
      <c r="M38" s="53">
        <f>IFERROR(IF(Sweet!R42="",0,Sweet!R42),0) - SUMIF(DeurvoerSweet!A21:A32,Sweet!A42,DeurvoerSweet!C21:C32)</f>
        <v>621</v>
      </c>
      <c r="N38" s="53">
        <f>IFERROR(IF(Bitter!R42="",0,Bitter!R42),0) - SUMIF(DeurvoerBitter!A21:A32,Bitter!A42,DeurvoerBitter!C21:C32)</f>
        <v>0</v>
      </c>
      <c r="O38" s="53">
        <f>SUM(M38:N38)</f>
        <v>621</v>
      </c>
      <c r="P38" s="53">
        <f>IFERROR(IF(Sweet!R43="",0,Sweet!R43),0) - SUMIF(DeurvoerSweet!A21:A32,Sweet!A43,DeurvoerSweet!C21:C32)</f>
        <v>36</v>
      </c>
      <c r="Q38" s="53">
        <f>IFERROR(IF(Bitter!R43="",0,Bitter!R43),0) - SUMIF(DeurvoerBitter!A21:A32,Bitter!A43,DeurvoerBitter!C21:C32)</f>
        <v>0</v>
      </c>
      <c r="R38" s="53">
        <f>SUM(P38:Q38)</f>
        <v>36</v>
      </c>
      <c r="S38" s="53">
        <f>IFERROR(IF(Sweet!R44="",0,Sweet!R44),0) - SUMIF(DeurvoerSweet!A21:A32,Sweet!A44,DeurvoerSweet!C21:C32)</f>
        <v>725</v>
      </c>
      <c r="T38" s="53">
        <f>IFERROR(IF(Bitter!R44="",0,Bitter!R44),0) - SUMIF(DeurvoerBitter!A21:A32,Bitter!A44,DeurvoerBitter!C21:C32)</f>
        <v>0</v>
      </c>
      <c r="U38" s="53">
        <f>SUM(S38:T38)</f>
        <v>725</v>
      </c>
      <c r="V38" s="53">
        <f>IFERROR(IF(Sweet!R45="",0,Sweet!R45),0) - SUMIF(DeurvoerSweet!A21:A32,Sweet!A45,DeurvoerSweet!C21:C32)</f>
        <v>839</v>
      </c>
      <c r="W38" s="53">
        <f>IFERROR(IF(Bitter!R45="",0,Bitter!R45),0) - SUMIF(DeurvoerBitter!A21:A32,Bitter!A45,DeurvoerBitter!C21:C32)</f>
        <v>225</v>
      </c>
      <c r="X38" s="53">
        <f>SUM(V38:W38)</f>
        <v>1064</v>
      </c>
      <c r="Y38" s="53">
        <f>IFERROR(IF(Sweet!R46="",0,Sweet!R46),0) - SUMIF(DeurvoerSweet!A21:A32,Sweet!A46,DeurvoerSweet!C21:C32)</f>
        <v>15</v>
      </c>
      <c r="Z38" s="53">
        <f>IFERROR(IF(Bitter!R46="",0,Bitter!R46),0) - SUMIF(DeurvoerBitter!A21:A32,Bitter!A46,DeurvoerBitter!C21:C32)</f>
        <v>154</v>
      </c>
      <c r="AA38" s="53">
        <f>SUM(Y38:Z38)</f>
        <v>169</v>
      </c>
      <c r="AB38" s="53">
        <f>IFERROR(IF(Sweet!R47="",0,Sweet!R47),0) - SUMIF(DeurvoerSweet!A21:A32,Sweet!A47,DeurvoerSweet!C21:C32)</f>
        <v>3</v>
      </c>
      <c r="AC38" s="53">
        <f>IFERROR(IF(Bitter!R47="",0,Bitter!R47),0) - SUMIF(DeurvoerBitter!A21:A32,Bitter!A47,DeurvoerBitter!C21:C32)</f>
        <v>0</v>
      </c>
      <c r="AD38" s="53">
        <f>SUM(AB38:AC38)</f>
        <v>3</v>
      </c>
      <c r="AE38" s="53">
        <f>IFERROR(IF(Sweet!R48="",0,Sweet!R48),0) - SUMIF(DeurvoerSweet!A21:A32,Sweet!A48,DeurvoerSweet!C21:C32)</f>
        <v>34</v>
      </c>
      <c r="AF38" s="53">
        <f>IFERROR(IF(Bitter!R48="",0,Bitter!R48),0) - SUMIF(DeurvoerBitter!A21:A32,Bitter!A48,DeurvoerBitter!C21:C32)</f>
        <v>0</v>
      </c>
      <c r="AG38" s="53">
        <f>SUM(AE38:AF38)</f>
        <v>34</v>
      </c>
      <c r="AH38" s="53">
        <f>IFERROR(IF(Sweet!R49="",0,Sweet!R49),0) - SUMIF(DeurvoerSweet!A21:A32,Sweet!A49,DeurvoerSweet!C21:C32)</f>
        <v>9</v>
      </c>
      <c r="AI38" s="53">
        <f>IFERROR(IF(Bitter!R49="",0,Bitter!R49),0) - SUMIF(DeurvoerBitter!A21:A32,Bitter!A49,DeurvoerBitter!C21:C32)</f>
        <v>0</v>
      </c>
      <c r="AJ38" s="53">
        <f>SUM(AH38:AI38)</f>
        <v>9</v>
      </c>
      <c r="AK38" s="53">
        <f>IFERROR(IF(Sweet!R50="",0,Sweet!R50),0) - SUMIF(DeurvoerSweet!A21:A32,Sweet!A50,DeurvoerSweet!C21:C32)</f>
        <v>105</v>
      </c>
      <c r="AL38" s="53">
        <f>IFERROR(IF(Bitter!R50="",0,Bitter!R50),0) - SUMIF(DeurvoerBitter!A21:A32,Bitter!A50,DeurvoerBitter!C21:C32)</f>
        <v>0</v>
      </c>
      <c r="AM38" s="53">
        <f>SUM(AK38:AL38)</f>
        <v>105</v>
      </c>
      <c r="AN38" s="53">
        <f>D38+G38+J38+M38+P38+S38+V38+Y38+AB38+AE38+AH38+AK38</f>
        <v>6228</v>
      </c>
      <c r="AO38" s="53">
        <f>E38+H38+K38+N38+Q38+T38+W38+Z38+AC38+AF38+AI38+AL38</f>
        <v>1214</v>
      </c>
      <c r="AP38" s="53">
        <f>SUM(AN38:AO38)</f>
        <v>7442</v>
      </c>
      <c r="AQ38" s="33" t="s">
        <v>151</v>
      </c>
      <c r="AR38" s="38"/>
      <c r="AS38" s="41"/>
    </row>
    <row r="39" spans="1:45" ht="27.75" customHeight="1" x14ac:dyDescent="0.5">
      <c r="A39" s="22"/>
      <c r="B39" s="9"/>
      <c r="C39" s="16" t="s">
        <v>152</v>
      </c>
      <c r="D39" s="54">
        <f>IFERROR(IF(Sweet!S39="",0,Sweet!S39),0) - SUMIF(DeurvoerSweet!A21:A32,Sweet!A39,DeurvoerSweet!B21:B32)</f>
        <v>0</v>
      </c>
      <c r="E39" s="54">
        <f>IFERROR(IF(Bitter!S39="",0,Bitter!S39),0) - SUMIF(DeurvoerBitter!A21:A32,Bitter!A39,DeurvoerBitter!B21:B32)</f>
        <v>0</v>
      </c>
      <c r="F39" s="54">
        <f>SUM(D39:E39)</f>
        <v>0</v>
      </c>
      <c r="G39" s="54">
        <f>IFERROR(IF(Sweet!S40="",0,Sweet!S40),0) - SUMIF(DeurvoerSweet!A21:A32,Sweet!A40,DeurvoerSweet!B21:B32)</f>
        <v>0</v>
      </c>
      <c r="H39" s="54">
        <f>IFERROR(IF(Bitter!S40="",0,Bitter!S40),0) - SUMIF(DeurvoerBitter!A21:A32,Bitter!A40,DeurvoerBitter!B21:B32)</f>
        <v>0</v>
      </c>
      <c r="I39" s="54">
        <f>SUM(G39:H39)</f>
        <v>0</v>
      </c>
      <c r="J39" s="54">
        <f>IFERROR(IF(Sweet!S41="",0,Sweet!S41),0) - SUMIF(DeurvoerSweet!A21:A32,Sweet!A41,DeurvoerSweet!B21:B32)</f>
        <v>0</v>
      </c>
      <c r="K39" s="54">
        <f>IFERROR(IF(Bitter!S41="",0,Bitter!S41),0) - SUMIF(DeurvoerBitter!A21:A32,Bitter!A41,DeurvoerBitter!B21:B32)</f>
        <v>0</v>
      </c>
      <c r="L39" s="54">
        <f>SUM(J39:K39)</f>
        <v>0</v>
      </c>
      <c r="M39" s="54">
        <f>IFERROR(IF(Sweet!S42="",0,Sweet!S42),0) - SUMIF(DeurvoerSweet!A21:A32,Sweet!A42,DeurvoerSweet!B21:B32)</f>
        <v>0</v>
      </c>
      <c r="N39" s="54">
        <f>IFERROR(IF(Bitter!S42="",0,Bitter!S42),0) - SUMIF(DeurvoerBitter!A21:A32,Bitter!A42,DeurvoerBitter!B21:B32)</f>
        <v>0</v>
      </c>
      <c r="O39" s="54">
        <f>SUM(M39:N39)</f>
        <v>0</v>
      </c>
      <c r="P39" s="54">
        <f>IFERROR(IF(Sweet!S43="",0,Sweet!S43),0) - SUMIF(DeurvoerSweet!A21:A32,Sweet!A43,DeurvoerSweet!B21:B32)</f>
        <v>0</v>
      </c>
      <c r="Q39" s="54">
        <f>IFERROR(IF(Bitter!S43="",0,Bitter!S43),0) - SUMIF(DeurvoerBitter!A21:A32,Bitter!A43,DeurvoerBitter!B21:B32)</f>
        <v>0</v>
      </c>
      <c r="R39" s="54">
        <f>SUM(P39:Q39)</f>
        <v>0</v>
      </c>
      <c r="S39" s="54">
        <f>IFERROR(IF(Sweet!S44="",0,Sweet!S44),0) - SUMIF(DeurvoerSweet!A21:A32,Sweet!A44,DeurvoerSweet!B21:B32)</f>
        <v>0</v>
      </c>
      <c r="T39" s="54">
        <f>IFERROR(IF(Bitter!S44="",0,Bitter!S44),0) - SUMIF(DeurvoerBitter!A21:A32,Bitter!A44,DeurvoerBitter!B21:B32)</f>
        <v>0</v>
      </c>
      <c r="U39" s="54">
        <f>SUM(S39:T39)</f>
        <v>0</v>
      </c>
      <c r="V39" s="54">
        <f>IFERROR(IF(Sweet!S45="",0,Sweet!S45),0) - SUMIF(DeurvoerSweet!A21:A32,Sweet!A45,DeurvoerSweet!B21:B32)</f>
        <v>0</v>
      </c>
      <c r="W39" s="54">
        <f>IFERROR(IF(Bitter!S45="",0,Bitter!S45),0) - SUMIF(DeurvoerBitter!A21:A32,Bitter!A45,DeurvoerBitter!B21:B32)</f>
        <v>0</v>
      </c>
      <c r="X39" s="54">
        <f>SUM(V39:W39)</f>
        <v>0</v>
      </c>
      <c r="Y39" s="54">
        <f>IFERROR(IF(Sweet!S46="",0,Sweet!S46),0) - SUMIF(DeurvoerSweet!A21:A32,Sweet!A46,DeurvoerSweet!B21:B32)</f>
        <v>0</v>
      </c>
      <c r="Z39" s="54">
        <f>IFERROR(IF(Bitter!S46="",0,Bitter!S46),0) - SUMIF(DeurvoerBitter!A21:A32,Bitter!A46,DeurvoerBitter!B21:B32)</f>
        <v>0</v>
      </c>
      <c r="AA39" s="54">
        <f>SUM(Y39:Z39)</f>
        <v>0</v>
      </c>
      <c r="AB39" s="54">
        <f>IFERROR(IF(Sweet!S47="",0,Sweet!S47),0) - SUMIF(DeurvoerSweet!A21:A32,Sweet!A47,DeurvoerSweet!B21:B32)</f>
        <v>0</v>
      </c>
      <c r="AC39" s="54">
        <f>IFERROR(IF(Bitter!S47="",0,Bitter!S47),0) - SUMIF(DeurvoerBitter!A21:A32,Bitter!A47,DeurvoerBitter!B21:B32)</f>
        <v>0</v>
      </c>
      <c r="AD39" s="54">
        <f>SUM(AB39:AC39)</f>
        <v>0</v>
      </c>
      <c r="AE39" s="54">
        <f>IFERROR(IF(Sweet!S48="",0,Sweet!S48),0) - SUMIF(DeurvoerSweet!A21:A32,Sweet!A48,DeurvoerSweet!B21:B32)</f>
        <v>0</v>
      </c>
      <c r="AF39" s="54">
        <f>IFERROR(IF(Bitter!S48="",0,Bitter!S48),0) - SUMIF(DeurvoerBitter!A21:A32,Bitter!A48,DeurvoerBitter!B21:B32)</f>
        <v>0</v>
      </c>
      <c r="AG39" s="54">
        <f>SUM(AE39:AF39)</f>
        <v>0</v>
      </c>
      <c r="AH39" s="54">
        <f>IFERROR(IF(Sweet!S49="",0,Sweet!S49),0) - SUMIF(DeurvoerSweet!A21:A32,Sweet!A49,DeurvoerSweet!B21:B32)</f>
        <v>0</v>
      </c>
      <c r="AI39" s="54">
        <f>IFERROR(IF(Bitter!S49="",0,Bitter!S49),0) - SUMIF(DeurvoerBitter!A21:A32,Bitter!A49,DeurvoerBitter!B21:B32)</f>
        <v>0</v>
      </c>
      <c r="AJ39" s="54">
        <f>SUM(AH39:AI39)</f>
        <v>0</v>
      </c>
      <c r="AK39" s="54">
        <f>IFERROR(IF(Sweet!S50="",0,Sweet!S50),0) - SUMIF(DeurvoerSweet!A21:A32,Sweet!A50,DeurvoerSweet!B21:B32)</f>
        <v>0</v>
      </c>
      <c r="AL39" s="54">
        <f>IFERROR(IF(Bitter!S50="",0,Bitter!S50),0) - SUMIF(DeurvoerBitter!A21:A32,Bitter!A50,DeurvoerBitter!B21:B32)</f>
        <v>0</v>
      </c>
      <c r="AM39" s="54">
        <f>SUM(AK39:AL39)</f>
        <v>0</v>
      </c>
      <c r="AN39" s="54">
        <f>D39+G39+J39+M39+P39+S39+V39+Y39+AB39+AE39+AH39+AK39</f>
        <v>0</v>
      </c>
      <c r="AO39" s="54">
        <f>E39+H39+K39+N39+Q39+T39+W39+Z39+AC39+AF39+AI39+AL39</f>
        <v>0</v>
      </c>
      <c r="AP39" s="54">
        <f>SUM(AN39:AO39)</f>
        <v>0</v>
      </c>
      <c r="AQ39" s="35" t="s">
        <v>153</v>
      </c>
      <c r="AR39" s="37"/>
      <c r="AS39" s="41"/>
    </row>
    <row r="40" spans="1:45" ht="27.75" customHeight="1" x14ac:dyDescent="0.5">
      <c r="A40" s="2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32"/>
      <c r="AR40" s="29"/>
      <c r="AS40" s="41"/>
    </row>
    <row r="41" spans="1:45" ht="27.75" customHeight="1" x14ac:dyDescent="0.5">
      <c r="A41" s="22" t="s">
        <v>154</v>
      </c>
      <c r="D41" s="52">
        <f t="shared" ref="D41:AP41" si="23">SUM(D42+D43)</f>
        <v>359</v>
      </c>
      <c r="E41" s="52">
        <f t="shared" si="23"/>
        <v>-328</v>
      </c>
      <c r="F41" s="52">
        <f t="shared" si="23"/>
        <v>31</v>
      </c>
      <c r="G41" s="52">
        <f t="shared" si="23"/>
        <v>3549</v>
      </c>
      <c r="H41" s="52">
        <f t="shared" si="23"/>
        <v>-532</v>
      </c>
      <c r="I41" s="52">
        <f t="shared" si="23"/>
        <v>3017</v>
      </c>
      <c r="J41" s="52">
        <f t="shared" si="23"/>
        <v>-1136</v>
      </c>
      <c r="K41" s="52">
        <f t="shared" si="23"/>
        <v>1878</v>
      </c>
      <c r="L41" s="52">
        <f t="shared" si="23"/>
        <v>742</v>
      </c>
      <c r="M41" s="52">
        <f t="shared" si="23"/>
        <v>801</v>
      </c>
      <c r="N41" s="52">
        <f t="shared" si="23"/>
        <v>124</v>
      </c>
      <c r="O41" s="52">
        <f t="shared" si="23"/>
        <v>925</v>
      </c>
      <c r="P41" s="52">
        <f t="shared" si="23"/>
        <v>-79</v>
      </c>
      <c r="Q41" s="52">
        <f t="shared" si="23"/>
        <v>-230</v>
      </c>
      <c r="R41" s="52">
        <f t="shared" si="23"/>
        <v>-309</v>
      </c>
      <c r="S41" s="52">
        <f t="shared" si="23"/>
        <v>872</v>
      </c>
      <c r="T41" s="52">
        <f t="shared" si="23"/>
        <v>61</v>
      </c>
      <c r="U41" s="52">
        <f t="shared" si="23"/>
        <v>933</v>
      </c>
      <c r="V41" s="52">
        <f t="shared" si="23"/>
        <v>-128</v>
      </c>
      <c r="W41" s="52">
        <f t="shared" si="23"/>
        <v>-55</v>
      </c>
      <c r="X41" s="52">
        <f t="shared" si="23"/>
        <v>-183</v>
      </c>
      <c r="Y41" s="52">
        <f t="shared" si="23"/>
        <v>384</v>
      </c>
      <c r="Z41" s="52">
        <f t="shared" si="23"/>
        <v>-351</v>
      </c>
      <c r="AA41" s="52">
        <f t="shared" si="23"/>
        <v>33</v>
      </c>
      <c r="AB41" s="52">
        <f t="shared" si="23"/>
        <v>-53</v>
      </c>
      <c r="AC41" s="52">
        <f t="shared" si="23"/>
        <v>-103</v>
      </c>
      <c r="AD41" s="52">
        <f t="shared" si="23"/>
        <v>-156</v>
      </c>
      <c r="AE41" s="52">
        <f t="shared" si="23"/>
        <v>-454</v>
      </c>
      <c r="AF41" s="52">
        <f t="shared" si="23"/>
        <v>-204</v>
      </c>
      <c r="AG41" s="52">
        <f t="shared" si="23"/>
        <v>-658</v>
      </c>
      <c r="AH41" s="52">
        <f t="shared" si="23"/>
        <v>2333</v>
      </c>
      <c r="AI41" s="52">
        <f t="shared" si="23"/>
        <v>-332</v>
      </c>
      <c r="AJ41" s="52">
        <f t="shared" si="23"/>
        <v>2001</v>
      </c>
      <c r="AK41" s="52">
        <f t="shared" si="23"/>
        <v>255</v>
      </c>
      <c r="AL41" s="52">
        <f t="shared" si="23"/>
        <v>-9</v>
      </c>
      <c r="AM41" s="52">
        <f t="shared" si="23"/>
        <v>246</v>
      </c>
      <c r="AN41" s="52">
        <f t="shared" si="23"/>
        <v>6703</v>
      </c>
      <c r="AO41" s="52">
        <f t="shared" si="23"/>
        <v>-81</v>
      </c>
      <c r="AP41" s="52">
        <f t="shared" si="23"/>
        <v>6622</v>
      </c>
      <c r="AQ41" s="32"/>
      <c r="AR41" s="29"/>
      <c r="AS41" s="41" t="s">
        <v>155</v>
      </c>
    </row>
    <row r="42" spans="1:45" ht="27.75" customHeight="1" x14ac:dyDescent="0.5">
      <c r="A42" s="22"/>
      <c r="B42" s="7" t="s">
        <v>156</v>
      </c>
      <c r="C42" s="12"/>
      <c r="D42" s="53">
        <f>IFERROR(IF((-Sweet!F39 - Sweet!G39 - Sweet!AF39 - Sweet!AG39 + Sweet!W39 + Sweet!X39)="",0,(-Sweet!F39 - Sweet!G39 - Sweet!AF39 - Sweet!AG39 + Sweet!W39 + Sweet!X39)),0)</f>
        <v>112</v>
      </c>
      <c r="E42" s="53">
        <f>IFERROR(IF((-Bitter!F39 - Bitter!G39 - Bitter!AF39 - Bitter!AG39 + Bitter!W39 + Bitter!X39)="",0,(-Bitter!F39 - Bitter!G39 - Bitter!AF39 - Bitter!AG39 + Bitter!W39 + Bitter!X39)),0)</f>
        <v>-57</v>
      </c>
      <c r="F42" s="53">
        <f>SUM(D42:E42)</f>
        <v>55</v>
      </c>
      <c r="G42" s="53">
        <f>IFERROR(IF((-Sweet!F40 - Sweet!G40 - Sweet!AF40 - Sweet!AG40 + Sweet!W40 + Sweet!X40)="",0,(-Sweet!F40 - Sweet!G40 - Sweet!AF40 - Sweet!AG40 + Sweet!W40 + Sweet!X40)),0)</f>
        <v>52</v>
      </c>
      <c r="H42" s="53">
        <f>IFERROR(IF((-Bitter!F40 - Bitter!G40 - Bitter!AF40 - Bitter!AG40 + Bitter!W40 + Bitter!X40)="",0,(-Bitter!F40 - Bitter!G40 - Bitter!AF40 - Bitter!AG40 + Bitter!W40 + Bitter!X40)),0)</f>
        <v>11</v>
      </c>
      <c r="I42" s="53">
        <f>SUM(G42:H42)</f>
        <v>63</v>
      </c>
      <c r="J42" s="53">
        <f>IFERROR(IF((-Sweet!F41 - Sweet!G41 - Sweet!AF41 - Sweet!AG41 + Sweet!W41 + Sweet!X41)="",0,(-Sweet!F41 - Sweet!G41 - Sweet!AF41 - Sweet!AG41 + Sweet!W41 + Sweet!X41)),0)</f>
        <v>193</v>
      </c>
      <c r="K42" s="53">
        <f>IFERROR(IF((-Bitter!F41 - Bitter!G41 - Bitter!AF41 - Bitter!AG41 + Bitter!W41 + Bitter!X41)="",0,(-Bitter!F41 - Bitter!G41 - Bitter!AF41 - Bitter!AG41 + Bitter!W41 + Bitter!X41)),0)</f>
        <v>76</v>
      </c>
      <c r="L42" s="53">
        <f>SUM(J42:K42)</f>
        <v>269</v>
      </c>
      <c r="M42" s="53">
        <f>IFERROR(IF((-Sweet!F42 - Sweet!G42 - Sweet!AF42 - Sweet!AG42 + Sweet!W42 + Sweet!X42)="",0,(-Sweet!F42 - Sweet!G42 - Sweet!AF42 - Sweet!AG42 + Sweet!W42 + Sweet!X42)),0)</f>
        <v>251</v>
      </c>
      <c r="N42" s="53">
        <f>IFERROR(IF((-Bitter!F42 - Bitter!G42 - Bitter!AF42 - Bitter!AG42 + Bitter!W42 + Bitter!X42)="",0,(-Bitter!F42 - Bitter!G42 - Bitter!AF42 - Bitter!AG42 + Bitter!W42 + Bitter!X42)),0)</f>
        <v>50</v>
      </c>
      <c r="O42" s="53">
        <f>SUM(M42:N42)</f>
        <v>301</v>
      </c>
      <c r="P42" s="53">
        <f>IFERROR(IF((-Sweet!F43 - Sweet!G43 - Sweet!AF43 - Sweet!AG43 + Sweet!W43 + Sweet!X43)="",0,(-Sweet!F43 - Sweet!G43 - Sweet!AF43 - Sweet!AG43 + Sweet!W43 + Sweet!X43)),0)</f>
        <v>63</v>
      </c>
      <c r="Q42" s="53">
        <f>IFERROR(IF((-Bitter!F43 - Bitter!G43 - Bitter!AF43 - Bitter!AG43 + Bitter!W43 + Bitter!X43)="",0,(-Bitter!F43 - Bitter!G43 - Bitter!AF43 - Bitter!AG43 + Bitter!W43 + Bitter!X43)),0)</f>
        <v>-201</v>
      </c>
      <c r="R42" s="53">
        <f>SUM(P42:Q42)</f>
        <v>-138</v>
      </c>
      <c r="S42" s="53">
        <f>IFERROR(IF((-Sweet!F44 - Sweet!G44 - Sweet!AF44 - Sweet!AG44 + Sweet!W44 + Sweet!X44)="",0,(-Sweet!F44 - Sweet!G44 - Sweet!AF44 - Sweet!AG44 + Sweet!W44 + Sweet!X44)),0)</f>
        <v>57</v>
      </c>
      <c r="T42" s="53">
        <f>IFERROR(IF((-Bitter!F44 - Bitter!G44 - Bitter!AF44 - Bitter!AG44 + Bitter!W44 + Bitter!X44)="",0,(-Bitter!F44 - Bitter!G44 - Bitter!AF44 - Bitter!AG44 + Bitter!W44 + Bitter!X44)),0)</f>
        <v>14</v>
      </c>
      <c r="U42" s="53">
        <f>SUM(S42:T42)</f>
        <v>71</v>
      </c>
      <c r="V42" s="53">
        <f>IFERROR(IF((-Sweet!F45 - Sweet!G45 - Sweet!AF45 - Sweet!AG45 + Sweet!W45 + Sweet!X45)="",0,(-Sweet!F45 - Sweet!G45 - Sweet!AF45 - Sweet!AG45 + Sweet!W45 + Sweet!X45)),0)</f>
        <v>-107</v>
      </c>
      <c r="W42" s="53">
        <f>IFERROR(IF((-Bitter!F45 - Bitter!G45 - Bitter!AF45 - Bitter!AG45 + Bitter!W45 + Bitter!X45)="",0,(-Bitter!F45 - Bitter!G45 - Bitter!AF45 - Bitter!AG45 + Bitter!W45 + Bitter!X45)),0)</f>
        <v>49</v>
      </c>
      <c r="X42" s="53">
        <f>SUM(V42:W42)</f>
        <v>-58</v>
      </c>
      <c r="Y42" s="53">
        <f>IFERROR(IF((-Sweet!F46 - Sweet!G46 - Sweet!AF46 - Sweet!AG46 + Sweet!W46 + Sweet!X46)="",0,(-Sweet!F46 - Sweet!G46 - Sweet!AF46 - Sweet!AG46 + Sweet!W46 + Sweet!X46)),0)</f>
        <v>322</v>
      </c>
      <c r="Z42" s="53">
        <f>IFERROR(IF((-Bitter!F46 - Bitter!G46 - Bitter!AF46 - Bitter!AG46 + Bitter!W46 + Bitter!X46)="",0,(-Bitter!F46 - Bitter!G46 - Bitter!AF46 - Bitter!AG46 + Bitter!W46 + Bitter!X46)),0)</f>
        <v>74</v>
      </c>
      <c r="AA42" s="53">
        <f>SUM(Y42:Z42)</f>
        <v>396</v>
      </c>
      <c r="AB42" s="53">
        <f>IFERROR(IF((-Sweet!F47 - Sweet!G47 - Sweet!AF47 - Sweet!AG47 + Sweet!W47 + Sweet!X47)="",0,(-Sweet!F47 - Sweet!G47 - Sweet!AF47 - Sweet!AG47 + Sweet!W47 + Sweet!X47)),0)</f>
        <v>-14</v>
      </c>
      <c r="AC42" s="53">
        <f>IFERROR(IF((-Bitter!F47 - Bitter!G47 - Bitter!AF47 - Bitter!AG47 + Bitter!W47 + Bitter!X47)="",0,(-Bitter!F47 - Bitter!G47 - Bitter!AF47 - Bitter!AG47 + Bitter!W47 + Bitter!X47)),0)</f>
        <v>43</v>
      </c>
      <c r="AD42" s="53">
        <f>SUM(AB42:AC42)</f>
        <v>29</v>
      </c>
      <c r="AE42" s="53">
        <f>IFERROR(IF((-Sweet!F48 - Sweet!G48 - Sweet!AF48 - Sweet!AG48 + Sweet!W48 + Sweet!X48)="",0,(-Sweet!F48 - Sweet!G48 - Sweet!AF48 - Sweet!AG48 + Sweet!W48 + Sweet!X48)),0)</f>
        <v>253</v>
      </c>
      <c r="AF42" s="53">
        <f>IFERROR(IF((-Bitter!F48 - Bitter!G48 - Bitter!AF48 - Bitter!AG48 + Bitter!W48 + Bitter!X48)="",0,(-Bitter!F48 - Bitter!G48 - Bitter!AF48 - Bitter!AG48 + Bitter!W48 + Bitter!X48)),0)</f>
        <v>-89</v>
      </c>
      <c r="AG42" s="53">
        <f>SUM(AE42:AF42)</f>
        <v>164</v>
      </c>
      <c r="AH42" s="53">
        <f>IFERROR(IF((-Sweet!F49 - Sweet!G49 - Sweet!AF49 - Sweet!AG49 + Sweet!W49 + Sweet!X49)="",0,(-Sweet!F49 - Sweet!G49 - Sweet!AF49 - Sweet!AG49 + Sweet!W49 + Sweet!X49)),0)</f>
        <v>234</v>
      </c>
      <c r="AI42" s="53">
        <f>IFERROR(IF((-Bitter!F49 - Bitter!G49 - Bitter!AF49 - Bitter!AG49 + Bitter!W49 + Bitter!X49)="",0,(-Bitter!F49 - Bitter!G49 - Bitter!AF49 - Bitter!AG49 + Bitter!W49 + Bitter!X49)),0)</f>
        <v>-215</v>
      </c>
      <c r="AJ42" s="53">
        <f>SUM(AH42:AI42)</f>
        <v>19</v>
      </c>
      <c r="AK42" s="53">
        <f>IFERROR(IF((-Sweet!F50 - Sweet!G50 - Sweet!AF50 - Sweet!AG50 + Sweet!W50 + Sweet!X50)="",0,(-Sweet!F50 - Sweet!G50 - Sweet!AF50 - Sweet!AG50 + Sweet!W50 + Sweet!X50)),0)</f>
        <v>-125</v>
      </c>
      <c r="AL42" s="53">
        <f>IFERROR(IF((-Bitter!F50 - Bitter!G50 - Bitter!AF50 - Bitter!AG50 + Bitter!W50 + Bitter!X50)="",0,(-Bitter!F50 - Bitter!G50 - Bitter!AF50 - Bitter!AG50 + Bitter!W50 + Bitter!X50)),0)</f>
        <v>55</v>
      </c>
      <c r="AM42" s="53">
        <f>SUM(AK42:AL42)</f>
        <v>-70</v>
      </c>
      <c r="AN42" s="53">
        <f>D42+G42+J42+M42+P42+S42+V42+Y42+AB42+AE42+AH42+AK42</f>
        <v>1291</v>
      </c>
      <c r="AO42" s="53">
        <f>E42+H42+K42+N42+Q42+T42+W42+Z42+AC42+AF42+AI42+AL42</f>
        <v>-190</v>
      </c>
      <c r="AP42" s="53">
        <f>SUM(AN42:AO42)</f>
        <v>1101</v>
      </c>
      <c r="AQ42" s="30"/>
      <c r="AR42" s="36" t="s">
        <v>157</v>
      </c>
      <c r="AS42" s="41"/>
    </row>
    <row r="43" spans="1:45" ht="27.75" customHeight="1" x14ac:dyDescent="0.5">
      <c r="A43" s="22"/>
      <c r="B43" s="9" t="s">
        <v>158</v>
      </c>
      <c r="C43" s="14"/>
      <c r="D43" s="54">
        <f>IFERROR(IF((Sweet!AA39 - Sweet!H39)="",0,(Sweet!AA39 - Sweet!H39)),0) - SUMIF(DeurvoerSweet!I5:I16,Sweet!A5,DeurvoerSweet!N5:N16) + SUMIF(DeurvoerSweet!I5:I16,Sweet!A5,DeurvoerSweet!M5:M16)</f>
        <v>247</v>
      </c>
      <c r="E43" s="54">
        <f>IFERROR(IF((Bitter!AA39 - Bitter!H39)="",0,(Bitter!AA39 - Bitter!H39)),0) + SUMIF(DeurvoerBitter!I5:I16,Bitter!A5,DeurvoerBitter!N5:N16) - SUMIF(DeurvoerBitter!I5:I16,Bitter!A5,DeurvoerBitter!M5:M16)</f>
        <v>-271</v>
      </c>
      <c r="F43" s="54">
        <f>SUM(D43:E43)</f>
        <v>-24</v>
      </c>
      <c r="G43" s="54">
        <f>IFERROR(IF((Sweet!AA40 - Sweet!H40)="",0,(Sweet!AA40 - Sweet!H40)),0) - SUMIF(DeurvoerSweet!I5:I16,Sweet!A6,DeurvoerSweet!N5:N16) + SUMIF(DeurvoerSweet!I5:I16,Sweet!A6,DeurvoerSweet!M5:M16)</f>
        <v>3497</v>
      </c>
      <c r="H43" s="54">
        <f>IFERROR(IF((Bitter!AA40 - Bitter!H40)="",0,(Bitter!AA40 - Bitter!H40)),0) + SUMIF(DeurvoerBitter!I5:I16,Bitter!A5,DeurvoerBitter!N5:N16) - SUMIF(DeurvoerBitter!I5:I16,Bitter!A6,DeurvoerBitter!M5:M16)</f>
        <v>-543</v>
      </c>
      <c r="I43" s="54">
        <f>SUM(G43:H43)</f>
        <v>2954</v>
      </c>
      <c r="J43" s="54">
        <f>IFERROR(IF((Sweet!AA41 - Sweet!H41)="",0,(Sweet!AA41 - Sweet!H41)),0) - SUMIF(DeurvoerSweet!I5:I16,Sweet!A7,DeurvoerSweet!N5:N16) + SUMIF(DeurvoerSweet!I5:I16,Sweet!A7,DeurvoerSweet!M5:M16)</f>
        <v>-1329</v>
      </c>
      <c r="K43" s="54">
        <f>IFERROR(IF((Bitter!AA41 - Bitter!H41)="",0,(Bitter!AA41 - Bitter!H41)),0) + SUMIF(DeurvoerBitter!I5:I16,Bitter!A5,DeurvoerBitter!N5:N16) - SUMIF(DeurvoerBitter!I5:I16,Bitter!A7,DeurvoerBitter!M5:M16)</f>
        <v>1802</v>
      </c>
      <c r="L43" s="54">
        <f>SUM(J43:K43)</f>
        <v>473</v>
      </c>
      <c r="M43" s="54">
        <f>IFERROR(IF((Sweet!AA42 - Sweet!H42)="",0,(Sweet!AA42 - Sweet!H42)),0) - SUMIF(DeurvoerSweet!I5:I16,Sweet!A8,DeurvoerSweet!N5:N16) + SUMIF(DeurvoerSweet!I5:I16,Sweet!A8,DeurvoerSweet!M5:M16)</f>
        <v>550</v>
      </c>
      <c r="N43" s="54">
        <f>IFERROR(IF((Bitter!AA42 - Bitter!H42)="",0,(Bitter!AA42 - Bitter!H42)),0) + SUMIF(DeurvoerBitter!I5:I16,Bitter!A5,DeurvoerBitter!N5:N16) - SUMIF(DeurvoerBitter!I5:I16,Bitter!A8,DeurvoerBitter!M5:M16)</f>
        <v>74</v>
      </c>
      <c r="O43" s="54">
        <f>SUM(M43:N43)</f>
        <v>624</v>
      </c>
      <c r="P43" s="54">
        <f>IFERROR(IF((Sweet!AA43 - Sweet!H43)="",0,(Sweet!AA43 - Sweet!H43)),0) - SUMIF(DeurvoerSweet!I5:I16,Sweet!A9,DeurvoerSweet!N5:N16) + SUMIF(DeurvoerSweet!I5:I16,Sweet!A9,DeurvoerSweet!M5:M16)</f>
        <v>-142</v>
      </c>
      <c r="Q43" s="54">
        <f>IFERROR(IF((Bitter!AA43 - Bitter!H43)="",0,(Bitter!AA43 - Bitter!H43)),0) + SUMIF(DeurvoerBitter!I5:I16,Bitter!A5,DeurvoerBitter!N5:N16) - SUMIF(DeurvoerBitter!I5:I16,Bitter!A9,DeurvoerBitter!M5:M16)</f>
        <v>-29</v>
      </c>
      <c r="R43" s="54">
        <f>SUM(P43:Q43)</f>
        <v>-171</v>
      </c>
      <c r="S43" s="54">
        <f>IFERROR(IF((Sweet!AA44 - Sweet!H44)="",0,(Sweet!AA44 - Sweet!H44)),0) - SUMIF(DeurvoerSweet!I5:I16,Sweet!A10,DeurvoerSweet!N5:N16) + SUMIF(DeurvoerSweet!I5:I16,Sweet!A10,DeurvoerSweet!M5:M16)</f>
        <v>815</v>
      </c>
      <c r="T43" s="54">
        <f>IFERROR(IF((Bitter!AA44 - Bitter!H44)="",0,(Bitter!AA44 - Bitter!H44)),0) + SUMIF(DeurvoerBitter!I5:I16,Bitter!A5,DeurvoerBitter!N5:N16) - SUMIF(DeurvoerBitter!I5:I16,Bitter!A10,DeurvoerBitter!M5:M16)</f>
        <v>47</v>
      </c>
      <c r="U43" s="54">
        <f>SUM(S43:T43)</f>
        <v>862</v>
      </c>
      <c r="V43" s="54">
        <f>IFERROR(IF((Sweet!AA45 - Sweet!H45)="",0,(Sweet!AA45 - Sweet!H45)),0) - SUMIF(DeurvoerSweet!I5:I16,Sweet!A11,DeurvoerSweet!N5:N16) + SUMIF(DeurvoerSweet!I5:I16,Sweet!A11,DeurvoerSweet!M5:M16)</f>
        <v>-21</v>
      </c>
      <c r="W43" s="54">
        <f>IFERROR(IF((Bitter!AA45 - Bitter!H45)="",0,(Bitter!AA45 - Bitter!H45)),0) + SUMIF(DeurvoerBitter!I5:I16,Bitter!A5,DeurvoerBitter!N5:N16) - SUMIF(DeurvoerBitter!I5:I16,Bitter!A11,DeurvoerBitter!M5:M16)</f>
        <v>-104</v>
      </c>
      <c r="X43" s="54">
        <f>SUM(V43:W43)</f>
        <v>-125</v>
      </c>
      <c r="Y43" s="54">
        <f>IFERROR(IF((Sweet!AA46 - Sweet!H46)="",0,(Sweet!AA46 - Sweet!H46)),0) - SUMIF(DeurvoerSweet!I5:I16,Sweet!A12,DeurvoerSweet!N5:N16) + SUMIF(DeurvoerSweet!I5:I16,Sweet!A12,DeurvoerSweet!M5:M16)</f>
        <v>62</v>
      </c>
      <c r="Z43" s="54">
        <f>IFERROR(IF((Bitter!AA46 - Bitter!H46)="",0,(Bitter!AA46 - Bitter!H46)),0) + SUMIF(DeurvoerBitter!I5:I16,Bitter!A5,DeurvoerBitter!N5:N16) - SUMIF(DeurvoerBitter!I5:I16,Bitter!A12,DeurvoerBitter!M5:M16)</f>
        <v>-425</v>
      </c>
      <c r="AA43" s="54">
        <f>SUM(Y43:Z43)</f>
        <v>-363</v>
      </c>
      <c r="AB43" s="54">
        <f>IFERROR(IF((Sweet!AA47 - Sweet!H47)="",0,(Sweet!AA47 - Sweet!H47)),0) - SUMIF(DeurvoerSweet!I5:I16,Sweet!A13,DeurvoerSweet!N5:N16) + SUMIF(DeurvoerSweet!I5:I16,Sweet!A13,DeurvoerSweet!M5:M16)</f>
        <v>-39</v>
      </c>
      <c r="AC43" s="54">
        <f>IFERROR(IF((Bitter!AA47 - Bitter!H47)="",0,(Bitter!AA47 - Bitter!H47)),0) + SUMIF(DeurvoerBitter!I5:I16,Bitter!A5,DeurvoerBitter!N5:N16) - SUMIF(DeurvoerBitter!I5:I16,Bitter!A13,DeurvoerBitter!M5:M16)</f>
        <v>-146</v>
      </c>
      <c r="AD43" s="54">
        <f>SUM(AB43:AC43)</f>
        <v>-185</v>
      </c>
      <c r="AE43" s="54">
        <f>IFERROR(IF((Sweet!AA48 - Sweet!H48)="",0,(Sweet!AA48 - Sweet!H48)),0) - SUMIF(DeurvoerSweet!I5:I16,Sweet!A14,DeurvoerSweet!N5:N16) + SUMIF(DeurvoerSweet!I5:I16,Sweet!A14,DeurvoerSweet!M5:M16)</f>
        <v>-707</v>
      </c>
      <c r="AF43" s="54">
        <f>IFERROR(IF((Bitter!AA48 - Bitter!H48)="",0,(Bitter!AA48 - Bitter!H48)),0) + SUMIF(DeurvoerBitter!I5:I16,Bitter!A5,DeurvoerBitter!N5:N16) - SUMIF(DeurvoerBitter!I5:I16,Bitter!A14,DeurvoerBitter!M5:M16)</f>
        <v>-115</v>
      </c>
      <c r="AG43" s="54">
        <f>SUM(AE43:AF43)</f>
        <v>-822</v>
      </c>
      <c r="AH43" s="54">
        <f>IFERROR(IF((Sweet!AA49 - Sweet!H49)="",0,(Sweet!AA49 - Sweet!H49)),0) - SUMIF(DeurvoerSweet!I5:I16,Sweet!A15,DeurvoerSweet!N5:N16) + SUMIF(DeurvoerSweet!I5:I16,Sweet!A15,DeurvoerSweet!M5:M16)</f>
        <v>2099</v>
      </c>
      <c r="AI43" s="54">
        <f>IFERROR(IF((Bitter!AA49 - Bitter!H49)="",0,(Bitter!AA49 - Bitter!H49)),0) + SUMIF(DeurvoerBitter!I5:I16,Bitter!A5,DeurvoerBitter!N5:N16) - SUMIF(DeurvoerBitter!I5:I16,Bitter!A15,DeurvoerBitter!M5:M16)</f>
        <v>-117</v>
      </c>
      <c r="AJ43" s="54">
        <f>SUM(AH43:AI43)</f>
        <v>1982</v>
      </c>
      <c r="AK43" s="54">
        <f>IFERROR(IF((Sweet!AA50 - Sweet!H50)="",0,(Sweet!AA50 - Sweet!H50)),0) - SUMIF(DeurvoerSweet!I5:I16,Sweet!A16,DeurvoerSweet!N5:N16) + SUMIF(DeurvoerSweet!I5:I16,Sweet!A16,DeurvoerSweet!M5:M16)</f>
        <v>380</v>
      </c>
      <c r="AL43" s="54">
        <f>IFERROR(IF((Bitter!AA50 - Bitter!H50)="",0,(Bitter!AA50 - Bitter!H50)),0) + SUMIF(DeurvoerBitter!I5:I16,Bitter!A5,DeurvoerBitter!N5:N16) - SUMIF(DeurvoerBitter!I5:I16,Bitter!A16,DeurvoerBitter!M5:M16)</f>
        <v>-64</v>
      </c>
      <c r="AM43" s="54">
        <f>SUM(AK43:AL43)</f>
        <v>316</v>
      </c>
      <c r="AN43" s="54">
        <f>D43+G43+J43+M43+P43+S43+V43+Y43+AB43+AE43+AH43+AK43</f>
        <v>5412</v>
      </c>
      <c r="AO43" s="54">
        <f>E43+H43+K43+N43+Q43+T43+W43+Z43+AC43+AF43+AI43+AL43</f>
        <v>109</v>
      </c>
      <c r="AP43" s="54">
        <f>SUM(AN43:AO43)</f>
        <v>5521</v>
      </c>
      <c r="AQ43" s="31"/>
      <c r="AR43" s="37" t="s">
        <v>159</v>
      </c>
      <c r="AS43" s="41"/>
    </row>
    <row r="44" spans="1:45" ht="27.75" customHeight="1" x14ac:dyDescent="0.5">
      <c r="A44" s="2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32"/>
      <c r="AR44" s="29"/>
      <c r="AS44" s="41"/>
    </row>
    <row r="45" spans="1:45" ht="27.75" customHeight="1" x14ac:dyDescent="0.5">
      <c r="A45" s="22"/>
      <c r="D45" s="150" t="s">
        <v>160</v>
      </c>
      <c r="E45" s="148"/>
      <c r="F45" s="149"/>
      <c r="G45" s="150" t="s">
        <v>161</v>
      </c>
      <c r="H45" s="148"/>
      <c r="I45" s="149"/>
      <c r="J45" s="150" t="s">
        <v>162</v>
      </c>
      <c r="K45" s="148"/>
      <c r="L45" s="149"/>
      <c r="M45" s="150" t="s">
        <v>163</v>
      </c>
      <c r="N45" s="148"/>
      <c r="O45" s="149"/>
      <c r="P45" s="150" t="s">
        <v>164</v>
      </c>
      <c r="Q45" s="148"/>
      <c r="R45" s="149"/>
      <c r="S45" s="150" t="s">
        <v>165</v>
      </c>
      <c r="T45" s="148"/>
      <c r="U45" s="149"/>
      <c r="V45" s="150" t="s">
        <v>166</v>
      </c>
      <c r="W45" s="148"/>
      <c r="X45" s="149"/>
      <c r="Y45" s="150" t="s">
        <v>167</v>
      </c>
      <c r="Z45" s="148"/>
      <c r="AA45" s="149"/>
      <c r="AB45" s="150" t="s">
        <v>168</v>
      </c>
      <c r="AC45" s="148"/>
      <c r="AD45" s="149"/>
      <c r="AE45" s="150" t="s">
        <v>169</v>
      </c>
      <c r="AF45" s="148"/>
      <c r="AG45" s="149"/>
      <c r="AH45" s="150" t="s">
        <v>170</v>
      </c>
      <c r="AI45" s="148"/>
      <c r="AJ45" s="149"/>
      <c r="AK45" s="150" t="s">
        <v>171</v>
      </c>
      <c r="AL45" s="148"/>
      <c r="AM45" s="149"/>
      <c r="AN45" s="150"/>
      <c r="AO45" s="148"/>
      <c r="AP45" s="149"/>
      <c r="AQ45" s="32"/>
      <c r="AR45" s="29"/>
      <c r="AS45" s="41"/>
    </row>
    <row r="46" spans="1:45" ht="27.75" customHeight="1" x14ac:dyDescent="0.5">
      <c r="A46" s="23" t="s">
        <v>172</v>
      </c>
      <c r="B46" s="11"/>
      <c r="C46" s="11"/>
      <c r="D46" s="52">
        <f t="shared" ref="D46:AP46" si="24">D11+D13-D17-D33-D41</f>
        <v>47329</v>
      </c>
      <c r="E46" s="52">
        <f t="shared" si="24"/>
        <v>21678</v>
      </c>
      <c r="F46" s="52">
        <f t="shared" si="24"/>
        <v>69007</v>
      </c>
      <c r="G46" s="52">
        <f t="shared" si="24"/>
        <v>63462</v>
      </c>
      <c r="H46" s="52">
        <f t="shared" si="24"/>
        <v>18608</v>
      </c>
      <c r="I46" s="52">
        <f t="shared" si="24"/>
        <v>82070</v>
      </c>
      <c r="J46" s="52">
        <f t="shared" si="24"/>
        <v>58996</v>
      </c>
      <c r="K46" s="52">
        <f t="shared" si="24"/>
        <v>19339</v>
      </c>
      <c r="L46" s="52">
        <f t="shared" si="24"/>
        <v>78335</v>
      </c>
      <c r="M46" s="52">
        <f t="shared" si="24"/>
        <v>66958</v>
      </c>
      <c r="N46" s="52">
        <f t="shared" si="24"/>
        <v>19151</v>
      </c>
      <c r="O46" s="52">
        <f t="shared" si="24"/>
        <v>86109</v>
      </c>
      <c r="P46" s="52">
        <f t="shared" si="24"/>
        <v>65273</v>
      </c>
      <c r="Q46" s="52">
        <f t="shared" si="24"/>
        <v>18034</v>
      </c>
      <c r="R46" s="52">
        <f t="shared" si="24"/>
        <v>83307</v>
      </c>
      <c r="S46" s="52">
        <f t="shared" si="24"/>
        <v>56988</v>
      </c>
      <c r="T46" s="52">
        <f t="shared" si="24"/>
        <v>16361</v>
      </c>
      <c r="U46" s="52">
        <f t="shared" si="24"/>
        <v>73349</v>
      </c>
      <c r="V46" s="52">
        <f t="shared" si="24"/>
        <v>61758</v>
      </c>
      <c r="W46" s="52">
        <f t="shared" si="24"/>
        <v>14387</v>
      </c>
      <c r="X46" s="52">
        <f t="shared" si="24"/>
        <v>76145</v>
      </c>
      <c r="Y46" s="52">
        <f t="shared" si="24"/>
        <v>75083</v>
      </c>
      <c r="Z46" s="52">
        <f t="shared" si="24"/>
        <v>12422</v>
      </c>
      <c r="AA46" s="52">
        <f t="shared" si="24"/>
        <v>87505</v>
      </c>
      <c r="AB46" s="52">
        <f t="shared" si="24"/>
        <v>61955</v>
      </c>
      <c r="AC46" s="52">
        <f t="shared" si="24"/>
        <v>10515</v>
      </c>
      <c r="AD46" s="52">
        <f t="shared" si="24"/>
        <v>72470</v>
      </c>
      <c r="AE46" s="52">
        <f t="shared" si="24"/>
        <v>54262</v>
      </c>
      <c r="AF46" s="52">
        <f t="shared" si="24"/>
        <v>7622</v>
      </c>
      <c r="AG46" s="52">
        <f t="shared" si="24"/>
        <v>61884</v>
      </c>
      <c r="AH46" s="52">
        <f t="shared" si="24"/>
        <v>43736</v>
      </c>
      <c r="AI46" s="52">
        <f t="shared" si="24"/>
        <v>4107</v>
      </c>
      <c r="AJ46" s="52">
        <f t="shared" si="24"/>
        <v>47843</v>
      </c>
      <c r="AK46" s="52">
        <f t="shared" si="24"/>
        <v>31836</v>
      </c>
      <c r="AL46" s="52">
        <f t="shared" si="24"/>
        <v>3402</v>
      </c>
      <c r="AM46" s="52">
        <f t="shared" si="24"/>
        <v>35238</v>
      </c>
      <c r="AN46" s="52">
        <f t="shared" si="24"/>
        <v>31836</v>
      </c>
      <c r="AO46" s="52">
        <f t="shared" si="24"/>
        <v>3402</v>
      </c>
      <c r="AP46" s="52">
        <f t="shared" si="24"/>
        <v>35238</v>
      </c>
      <c r="AQ46" s="31"/>
      <c r="AR46" s="40"/>
      <c r="AS46" s="43" t="s">
        <v>173</v>
      </c>
    </row>
    <row r="47" spans="1:45" ht="27.75" customHeight="1" x14ac:dyDescent="0.5">
      <c r="A47" s="2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9"/>
      <c r="AR47" s="29"/>
      <c r="AS47" s="41"/>
    </row>
    <row r="48" spans="1:45" ht="27.75" customHeight="1" x14ac:dyDescent="0.5">
      <c r="A48" s="22" t="s">
        <v>174</v>
      </c>
      <c r="D48" s="52">
        <f t="shared" ref="D48:AP48" si="25">SUM(D49:D50)</f>
        <v>47329</v>
      </c>
      <c r="E48" s="52">
        <f t="shared" si="25"/>
        <v>21678</v>
      </c>
      <c r="F48" s="52">
        <f t="shared" si="25"/>
        <v>69007</v>
      </c>
      <c r="G48" s="52">
        <f t="shared" si="25"/>
        <v>63462</v>
      </c>
      <c r="H48" s="52">
        <f t="shared" si="25"/>
        <v>18608</v>
      </c>
      <c r="I48" s="52">
        <f t="shared" si="25"/>
        <v>82070</v>
      </c>
      <c r="J48" s="52">
        <f t="shared" si="25"/>
        <v>58996</v>
      </c>
      <c r="K48" s="52">
        <f t="shared" si="25"/>
        <v>19339</v>
      </c>
      <c r="L48" s="52">
        <f t="shared" si="25"/>
        <v>78335</v>
      </c>
      <c r="M48" s="52">
        <f t="shared" si="25"/>
        <v>66958</v>
      </c>
      <c r="N48" s="52">
        <f t="shared" si="25"/>
        <v>19151</v>
      </c>
      <c r="O48" s="52">
        <f t="shared" si="25"/>
        <v>86109</v>
      </c>
      <c r="P48" s="52">
        <f t="shared" si="25"/>
        <v>65273</v>
      </c>
      <c r="Q48" s="52">
        <f t="shared" si="25"/>
        <v>18034</v>
      </c>
      <c r="R48" s="52">
        <f t="shared" si="25"/>
        <v>83307</v>
      </c>
      <c r="S48" s="52">
        <f t="shared" si="25"/>
        <v>56988</v>
      </c>
      <c r="T48" s="52">
        <f t="shared" si="25"/>
        <v>16361</v>
      </c>
      <c r="U48" s="52">
        <f t="shared" si="25"/>
        <v>73349</v>
      </c>
      <c r="V48" s="52">
        <f t="shared" si="25"/>
        <v>61758</v>
      </c>
      <c r="W48" s="52">
        <f t="shared" si="25"/>
        <v>14387</v>
      </c>
      <c r="X48" s="52">
        <f t="shared" si="25"/>
        <v>76145</v>
      </c>
      <c r="Y48" s="52">
        <f t="shared" si="25"/>
        <v>75083</v>
      </c>
      <c r="Z48" s="52">
        <f t="shared" si="25"/>
        <v>12422</v>
      </c>
      <c r="AA48" s="52">
        <f t="shared" si="25"/>
        <v>87505</v>
      </c>
      <c r="AB48" s="52">
        <f t="shared" si="25"/>
        <v>61955</v>
      </c>
      <c r="AC48" s="52">
        <f t="shared" si="25"/>
        <v>10515</v>
      </c>
      <c r="AD48" s="52">
        <f t="shared" si="25"/>
        <v>72470</v>
      </c>
      <c r="AE48" s="52">
        <f t="shared" si="25"/>
        <v>54262</v>
      </c>
      <c r="AF48" s="52">
        <f t="shared" si="25"/>
        <v>7622</v>
      </c>
      <c r="AG48" s="52">
        <f t="shared" si="25"/>
        <v>61884</v>
      </c>
      <c r="AH48" s="52">
        <f t="shared" si="25"/>
        <v>43736</v>
      </c>
      <c r="AI48" s="52">
        <f t="shared" si="25"/>
        <v>4107</v>
      </c>
      <c r="AJ48" s="52">
        <f t="shared" si="25"/>
        <v>47843</v>
      </c>
      <c r="AK48" s="52">
        <f t="shared" si="25"/>
        <v>31836</v>
      </c>
      <c r="AL48" s="52">
        <f t="shared" si="25"/>
        <v>3402</v>
      </c>
      <c r="AM48" s="52">
        <f t="shared" si="25"/>
        <v>35238</v>
      </c>
      <c r="AN48" s="52">
        <f t="shared" si="25"/>
        <v>31836</v>
      </c>
      <c r="AO48" s="52">
        <f t="shared" si="25"/>
        <v>3402</v>
      </c>
      <c r="AP48" s="52">
        <f t="shared" si="25"/>
        <v>35238</v>
      </c>
      <c r="AQ48" s="29"/>
      <c r="AR48" s="29"/>
      <c r="AS48" s="41" t="s">
        <v>175</v>
      </c>
    </row>
    <row r="49" spans="1:45" ht="27.75" customHeight="1" x14ac:dyDescent="0.5">
      <c r="A49" s="22"/>
      <c r="B49" s="7" t="s">
        <v>176</v>
      </c>
      <c r="C49" s="12"/>
      <c r="D49" s="53">
        <f>IFERROR(IF((Sweet!AB39)="",0,(Sweet!AB39)),0) - SUMIF(DeurvoerSweet!I5:I16,Sweet!A5,DeurvoerSweet!O5:O16)</f>
        <v>17659</v>
      </c>
      <c r="E49" s="53">
        <f>IFERROR(IF((Bitter!AB39)="",0,(Bitter!AB39)),0) - SUMIF(DeurvoerBitter!I5:I16,Bitter!A5,DeurvoerBitter!O5:O16)</f>
        <v>15410</v>
      </c>
      <c r="F49" s="53">
        <f>SUM(D49:E49)</f>
        <v>33069</v>
      </c>
      <c r="G49" s="53">
        <f>IFERROR(IF((Sweet!AB40)="",0,(Sweet!AB40)),0) - SUMIF(DeurvoerSweet!I5:I16,Sweet!A6,DeurvoerSweet!O5:O16)</f>
        <v>35877</v>
      </c>
      <c r="H49" s="53">
        <f>IFERROR(IF((Bitter!AB40)="",0,(Bitter!AB40)),0) - SUMIF(DeurvoerBitter!I5:I16,Bitter!A6,DeurvoerBitter!O5:O16)</f>
        <v>14784</v>
      </c>
      <c r="I49" s="53">
        <f>SUM(G49:H49)</f>
        <v>50661</v>
      </c>
      <c r="J49" s="53">
        <f>IFERROR(IF((Sweet!AB41)="",0,(Sweet!AB41)),0) - SUMIF(DeurvoerSweet!I5:I16,Sweet!A7,DeurvoerSweet!O5:O16)</f>
        <v>23593</v>
      </c>
      <c r="K49" s="53">
        <f>IFERROR(IF((Bitter!AB41)="",0,(Bitter!AB41)),0) - SUMIF(DeurvoerBitter!I5:I16,Bitter!A7,DeurvoerBitter!O5:O16)</f>
        <v>16042</v>
      </c>
      <c r="L49" s="53">
        <f>SUM(J49:K49)</f>
        <v>39635</v>
      </c>
      <c r="M49" s="53">
        <f>IFERROR(IF((Sweet!AB42)="",0,(Sweet!AB42)),0) - SUMIF(DeurvoerSweet!I5:I16,Sweet!A8,DeurvoerSweet!O5:O16)</f>
        <v>34910</v>
      </c>
      <c r="N49" s="53">
        <f>IFERROR(IF((Bitter!AB42)="",0,(Bitter!AB42)),0) - SUMIF(DeurvoerBitter!I5:I16,Bitter!A8,DeurvoerBitter!O5:O16)</f>
        <v>13837</v>
      </c>
      <c r="O49" s="53">
        <f>SUM(M49:N49)</f>
        <v>48747</v>
      </c>
      <c r="P49" s="53">
        <f>IFERROR(IF((Sweet!AB43)="",0,(Sweet!AB43)),0) - SUMIF(DeurvoerSweet!I5:I16,Sweet!A9,DeurvoerSweet!O5:O16)</f>
        <v>34379</v>
      </c>
      <c r="Q49" s="53">
        <f>IFERROR(IF((Bitter!AB43)="",0,(Bitter!AB43)),0) - SUMIF(DeurvoerBitter!I5:I16,Bitter!A9,DeurvoerBitter!O5:O16)</f>
        <v>13566</v>
      </c>
      <c r="R49" s="53">
        <f>SUM(P49:Q49)</f>
        <v>47945</v>
      </c>
      <c r="S49" s="53">
        <f>IFERROR(IF((Sweet!AB44)="",0,(Sweet!AB44)),0) - SUMIF(DeurvoerSweet!I5:I16,Sweet!A10,DeurvoerSweet!O5:O16)</f>
        <v>32282</v>
      </c>
      <c r="T49" s="53">
        <f>IFERROR(IF((Bitter!AB44)="",0,(Bitter!AB44)),0) - SUMIF(DeurvoerBitter!I5:I16,Bitter!A10,DeurvoerBitter!O5:O16)</f>
        <v>13377</v>
      </c>
      <c r="U49" s="53">
        <f>SUM(S49:T49)</f>
        <v>45659</v>
      </c>
      <c r="V49" s="53">
        <f>IFERROR(IF((Sweet!AB45)="",0,(Sweet!AB45)),0) - SUMIF(DeurvoerSweet!I5:I16,Sweet!A11,DeurvoerSweet!O5:O16)</f>
        <v>36137</v>
      </c>
      <c r="W49" s="53">
        <f>IFERROR(IF((Bitter!AB45)="",0,(Bitter!AB45)),0) - SUMIF(DeurvoerBitter!I5:I16,Bitter!A11,DeurvoerBitter!O5:O16)</f>
        <v>12096</v>
      </c>
      <c r="X49" s="53">
        <f>SUM(V49:W49)</f>
        <v>48233</v>
      </c>
      <c r="Y49" s="53">
        <f>IFERROR(IF((Sweet!AB46)="",0,(Sweet!AB46)),0) - SUMIF(DeurvoerSweet!I5:I16,Sweet!A12,DeurvoerSweet!O5:O16)</f>
        <v>31231</v>
      </c>
      <c r="Z49" s="53">
        <f>IFERROR(IF((Bitter!AB46)="",0,(Bitter!AB46)),0) - SUMIF(DeurvoerBitter!I5:I16,Bitter!A12,DeurvoerBitter!O5:O16)</f>
        <v>10498</v>
      </c>
      <c r="AA49" s="53">
        <f>SUM(Y49:Z49)</f>
        <v>41729</v>
      </c>
      <c r="AB49" s="53">
        <f>IFERROR(IF((Sweet!AB47)="",0,(Sweet!AB47)),0) - SUMIF(DeurvoerSweet!I5:I16,Sweet!A13,DeurvoerSweet!O5:O16)</f>
        <v>26255</v>
      </c>
      <c r="AC49" s="53">
        <f>IFERROR(IF((Bitter!AB47)="",0,(Bitter!AB47)),0) - SUMIF(DeurvoerBitter!I5:I16,Bitter!A13,DeurvoerBitter!O5:O16)</f>
        <v>3468</v>
      </c>
      <c r="AD49" s="53">
        <f>SUM(AB49:AC49)</f>
        <v>29723</v>
      </c>
      <c r="AE49" s="53">
        <f>IFERROR(IF((Sweet!AB48)="",0,(Sweet!AB48)),0) - SUMIF(DeurvoerSweet!I5:I16,Sweet!A14,DeurvoerSweet!O5:O16)</f>
        <v>23016</v>
      </c>
      <c r="AF49" s="53">
        <f>IFERROR(IF((Bitter!AB48)="",0,(Bitter!AB48)),0) - SUMIF(DeurvoerBitter!I5:I16,Bitter!A14,DeurvoerBitter!O5:O16)</f>
        <v>3272</v>
      </c>
      <c r="AG49" s="53">
        <f>SUM(AE49:AF49)</f>
        <v>26288</v>
      </c>
      <c r="AH49" s="53">
        <f>IFERROR(IF((Sweet!AB49)="",0,(Sweet!AB49)),0) - SUMIF(DeurvoerSweet!I5:I16,Sweet!A15,DeurvoerSweet!O5:O16)</f>
        <v>17267</v>
      </c>
      <c r="AI49" s="53">
        <f>IFERROR(IF((Bitter!AB49)="",0,(Bitter!AB49)),0) - SUMIF(DeurvoerBitter!I5:I16,Bitter!A15,DeurvoerBitter!O5:O16)</f>
        <v>2772</v>
      </c>
      <c r="AJ49" s="53">
        <f>SUM(AH49:AI49)</f>
        <v>20039</v>
      </c>
      <c r="AK49" s="53">
        <f>IFERROR(IF((Sweet!AB50)="",0,(Sweet!AB50)),0) - SUMIF(DeurvoerSweet!I5:I16,Sweet!A16,DeurvoerSweet!O5:O16)</f>
        <v>12485</v>
      </c>
      <c r="AL49" s="53">
        <f>IFERROR(IF((Bitter!AB50)="",0,(Bitter!AB50)),0) - SUMIF(DeurvoerBitter!I5:I16,Bitter!A16,DeurvoerBitter!O5:O16)</f>
        <v>2326</v>
      </c>
      <c r="AM49" s="53">
        <f>SUM(AK49:AL49)</f>
        <v>14811</v>
      </c>
      <c r="AN49" s="53">
        <f>INDEX(Sweet!AB39:'Sweet'!AB50,MATCH(9.99999999999999E+307,Sweet!AB39:'Sweet'!AB50))-INDEX(DeurvoerSweet!O5:'DeurvoerSweet'!O16,MATCH(9.99999999999999E+307,DeurvoerSweet!O5:'DeurvoerSweet'!O16))</f>
        <v>12485</v>
      </c>
      <c r="AO49" s="53">
        <f>INDEX(Bitter!AB39:'Bitter'!AB50,MATCH(9.99999999999999E+307,Bitter!AB39:'Bitter'!AB50))-INDEX(DeurvoerBitter!O5:'DeurvoerBitter'!O16,MATCH(9.99999999999999E+307,DeurvoerBitter!O5:'DeurvoerBitter'!O16))</f>
        <v>2326</v>
      </c>
      <c r="AP49" s="53">
        <f>SUM(AN49:AO49)</f>
        <v>14811</v>
      </c>
      <c r="AQ49" s="30"/>
      <c r="AR49" s="36" t="s">
        <v>177</v>
      </c>
      <c r="AS49" s="41"/>
    </row>
    <row r="50" spans="1:45" ht="27.75" customHeight="1" x14ac:dyDescent="0.5">
      <c r="A50" s="23"/>
      <c r="B50" s="9" t="s">
        <v>178</v>
      </c>
      <c r="C50" s="14"/>
      <c r="D50" s="54">
        <f>IFERROR(IF((Sweet!AC39)="",0,(Sweet!AC39)),0)</f>
        <v>29670</v>
      </c>
      <c r="E50" s="54">
        <f>IFERROR(IF((Bitter!AC39)="",0,(Bitter!AC39)),0)</f>
        <v>6268</v>
      </c>
      <c r="F50" s="54">
        <f>SUM(D50:E50)</f>
        <v>35938</v>
      </c>
      <c r="G50" s="54">
        <f>IFERROR(IF((Sweet!AC40)="",0,(Sweet!AC40)),0)</f>
        <v>27585</v>
      </c>
      <c r="H50" s="54">
        <f>IFERROR(IF((Bitter!AC40)="",0,(Bitter!AC40)),0)</f>
        <v>3824</v>
      </c>
      <c r="I50" s="54">
        <f>SUM(G50:H50)</f>
        <v>31409</v>
      </c>
      <c r="J50" s="54">
        <f>IFERROR(IF((Sweet!AC41)="",0,(Sweet!AC41)),0)</f>
        <v>35403</v>
      </c>
      <c r="K50" s="54">
        <f>IFERROR(IF((Bitter!AC41)="",0,(Bitter!AC41)),0)</f>
        <v>3297</v>
      </c>
      <c r="L50" s="54">
        <f>SUM(J50:K50)</f>
        <v>38700</v>
      </c>
      <c r="M50" s="54">
        <f>IFERROR(IF((Sweet!AC42)="",0,(Sweet!AC42)),0)</f>
        <v>32048</v>
      </c>
      <c r="N50" s="54">
        <f>IFERROR(IF((Bitter!AC42)="",0,(Bitter!AC42)),0)</f>
        <v>5314</v>
      </c>
      <c r="O50" s="54">
        <f>SUM(M50:N50)</f>
        <v>37362</v>
      </c>
      <c r="P50" s="54">
        <f>IFERROR(IF((Sweet!AC43)="",0,(Sweet!AC43)),0)</f>
        <v>30894</v>
      </c>
      <c r="Q50" s="54">
        <f>IFERROR(IF((Bitter!AC43)="",0,(Bitter!AC43)),0)</f>
        <v>4468</v>
      </c>
      <c r="R50" s="54">
        <f>SUM(P50:Q50)</f>
        <v>35362</v>
      </c>
      <c r="S50" s="54">
        <f>IFERROR(IF((Sweet!AC44)="",0,(Sweet!AC44)),0)</f>
        <v>24706</v>
      </c>
      <c r="T50" s="54">
        <f>IFERROR(IF((Bitter!AC44)="",0,(Bitter!AC44)),0)</f>
        <v>2984</v>
      </c>
      <c r="U50" s="54">
        <f>SUM(S50:T50)</f>
        <v>27690</v>
      </c>
      <c r="V50" s="54">
        <f>IFERROR(IF((Sweet!AC45)="",0,(Sweet!AC45)),0)</f>
        <v>25621</v>
      </c>
      <c r="W50" s="54">
        <f>IFERROR(IF((Bitter!AC45)="",0,(Bitter!AC45)),0)</f>
        <v>2291</v>
      </c>
      <c r="X50" s="54">
        <f>SUM(V50:W50)</f>
        <v>27912</v>
      </c>
      <c r="Y50" s="54">
        <f>IFERROR(IF((Sweet!AC46)="",0,(Sweet!AC46)),0)</f>
        <v>43852</v>
      </c>
      <c r="Z50" s="54">
        <f>IFERROR(IF((Bitter!AC46)="",0,(Bitter!AC46)),0)</f>
        <v>1924</v>
      </c>
      <c r="AA50" s="54">
        <f>SUM(Y50:Z50)</f>
        <v>45776</v>
      </c>
      <c r="AB50" s="54">
        <f>IFERROR(IF((Sweet!AC47)="",0,(Sweet!AC47)),0)</f>
        <v>35700</v>
      </c>
      <c r="AC50" s="54">
        <f>IFERROR(IF((Bitter!AC47)="",0,(Bitter!AC47)),0)</f>
        <v>7047</v>
      </c>
      <c r="AD50" s="54">
        <f>SUM(AB50:AC50)</f>
        <v>42747</v>
      </c>
      <c r="AE50" s="54">
        <f>IFERROR(IF((Sweet!AC48)="",0,(Sweet!AC48)),0)</f>
        <v>31246</v>
      </c>
      <c r="AF50" s="54">
        <f>IFERROR(IF((Bitter!AC48)="",0,(Bitter!AC48)),0)</f>
        <v>4350</v>
      </c>
      <c r="AG50" s="54">
        <f>SUM(AE50:AF50)</f>
        <v>35596</v>
      </c>
      <c r="AH50" s="54">
        <f>IFERROR(IF((Sweet!AC49)="",0,(Sweet!AC49)),0)</f>
        <v>26469</v>
      </c>
      <c r="AI50" s="54">
        <f>IFERROR(IF((Bitter!AC49)="",0,(Bitter!AC49)),0)</f>
        <v>1335</v>
      </c>
      <c r="AJ50" s="54">
        <f>SUM(AH50:AI50)</f>
        <v>27804</v>
      </c>
      <c r="AK50" s="54">
        <f>IFERROR(IF((Sweet!AC50)="",0,(Sweet!AC50)),0)</f>
        <v>19351</v>
      </c>
      <c r="AL50" s="54">
        <f>IFERROR(IF((Bitter!AC50)="",0,(Bitter!AC50)),0)</f>
        <v>1076</v>
      </c>
      <c r="AM50" s="54">
        <f>SUM(AK50:AL50)</f>
        <v>20427</v>
      </c>
      <c r="AN50" s="54">
        <f>INDEX(Sweet!AC39:'Sweet'!AC50,MATCH(9.99999999999999E+307,Sweet!AC39:'Sweet'!AC50))</f>
        <v>19351</v>
      </c>
      <c r="AO50" s="54">
        <f>INDEX(Bitter!AC39:'Bitter'!AC50,MATCH(9.99999999999999E+307,Bitter!AC39:'Bitter'!AC50))</f>
        <v>1076</v>
      </c>
      <c r="AP50" s="54">
        <f>SUM(AN50:AO50)</f>
        <v>20427</v>
      </c>
      <c r="AQ50" s="31"/>
      <c r="AR50" s="37" t="s">
        <v>179</v>
      </c>
      <c r="AS50" s="43"/>
    </row>
    <row r="51" spans="1:45" ht="27.75" customHeight="1" x14ac:dyDescent="0.5">
      <c r="A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9"/>
      <c r="AR51" s="29"/>
      <c r="AS51" s="44"/>
    </row>
    <row r="52" spans="1:45" ht="54.9" customHeight="1" x14ac:dyDescent="0.5">
      <c r="A52" s="129" t="s">
        <v>180</v>
      </c>
      <c r="B52" s="130"/>
      <c r="C52" s="131"/>
      <c r="D52" s="56"/>
      <c r="E52" s="53"/>
      <c r="F52" s="60"/>
      <c r="G52" s="56"/>
      <c r="H52" s="53"/>
      <c r="I52" s="60"/>
      <c r="J52" s="56"/>
      <c r="K52" s="53"/>
      <c r="L52" s="60"/>
      <c r="M52" s="56"/>
      <c r="N52" s="53"/>
      <c r="O52" s="60"/>
      <c r="P52" s="56"/>
      <c r="Q52" s="53"/>
      <c r="R52" s="60"/>
      <c r="S52" s="56"/>
      <c r="T52" s="53"/>
      <c r="U52" s="60"/>
      <c r="V52" s="56"/>
      <c r="W52" s="53"/>
      <c r="X52" s="60"/>
      <c r="Y52" s="56"/>
      <c r="Z52" s="53"/>
      <c r="AA52" s="60"/>
      <c r="AB52" s="56"/>
      <c r="AC52" s="53"/>
      <c r="AD52" s="60"/>
      <c r="AE52" s="56"/>
      <c r="AF52" s="53"/>
      <c r="AG52" s="60"/>
      <c r="AH52" s="56"/>
      <c r="AI52" s="53"/>
      <c r="AJ52" s="60"/>
      <c r="AK52" s="56"/>
      <c r="AL52" s="53"/>
      <c r="AM52" s="60"/>
      <c r="AN52" s="56"/>
      <c r="AO52" s="53"/>
      <c r="AP52" s="60"/>
      <c r="AQ52" s="132" t="s">
        <v>181</v>
      </c>
      <c r="AR52" s="133"/>
      <c r="AS52" s="134"/>
    </row>
    <row r="53" spans="1:45" ht="27.75" customHeight="1" x14ac:dyDescent="0.5">
      <c r="A53" s="8"/>
      <c r="B53" t="s">
        <v>182</v>
      </c>
      <c r="C53" s="13"/>
      <c r="D53" s="57">
        <f>IFERROR(IF((DeurvoerSweet!J5)="",0,(DeurvoerSweet!J5)),0)</f>
        <v>15750</v>
      </c>
      <c r="E53" s="55">
        <f>IFERROR(IF((DeurvoerBitter!J5)="",0,(DeurvoerBitter!J5)),0)</f>
        <v>0</v>
      </c>
      <c r="F53" s="61">
        <f>D53+E53</f>
        <v>15750</v>
      </c>
      <c r="G53" s="57">
        <f>IF(G11=0,0,D57)</f>
        <v>5181</v>
      </c>
      <c r="H53" s="55">
        <f>IF(G11=0,0,E57)</f>
        <v>0</v>
      </c>
      <c r="I53" s="61">
        <f>G53+H53</f>
        <v>5181</v>
      </c>
      <c r="J53" s="57">
        <f>IF(J11=0,0,G57)</f>
        <v>17697</v>
      </c>
      <c r="K53" s="55">
        <f>IF(J11=0,0,H57)</f>
        <v>0</v>
      </c>
      <c r="L53" s="61">
        <f>J53+K53</f>
        <v>17697</v>
      </c>
      <c r="M53" s="57">
        <f>IF(M11=0,0,J57)</f>
        <v>10037</v>
      </c>
      <c r="N53" s="55">
        <f>IF(M11=0,0,K57)</f>
        <v>0</v>
      </c>
      <c r="O53" s="61">
        <f>M53+N53</f>
        <v>10037</v>
      </c>
      <c r="P53" s="57">
        <f>IF(P11=0,0,M57)</f>
        <v>8088</v>
      </c>
      <c r="Q53" s="55">
        <f>IF(P11=0,0,N57)</f>
        <v>0</v>
      </c>
      <c r="R53" s="61">
        <f>P53+Q53</f>
        <v>8088</v>
      </c>
      <c r="S53" s="57">
        <f>IF(S11=0,0,P57)</f>
        <v>12650</v>
      </c>
      <c r="T53" s="55">
        <f>IF(S11=0,0,Q57)</f>
        <v>0</v>
      </c>
      <c r="U53" s="61">
        <f>S53+T53</f>
        <v>12650</v>
      </c>
      <c r="V53" s="57">
        <f>IF(V11=0,0,S57)</f>
        <v>5577</v>
      </c>
      <c r="W53" s="55">
        <f>IF(V11=0,0,T57)</f>
        <v>0</v>
      </c>
      <c r="X53" s="61">
        <f>V53+W53</f>
        <v>5577</v>
      </c>
      <c r="Y53" s="57">
        <f>IF(Y11=0,0,V57)</f>
        <v>22513</v>
      </c>
      <c r="Z53" s="55">
        <f>IF(Y11=0,0,W57)</f>
        <v>0</v>
      </c>
      <c r="AA53" s="61">
        <f>Y53+Z53</f>
        <v>22513</v>
      </c>
      <c r="AB53" s="57">
        <f>IF(AB11=0,0,Y57)</f>
        <v>16707</v>
      </c>
      <c r="AC53" s="55">
        <f>IF(AB11=0,0,Z57)</f>
        <v>0</v>
      </c>
      <c r="AD53" s="61">
        <f>AB53+AC53</f>
        <v>16707</v>
      </c>
      <c r="AE53" s="57">
        <f>IF(AE11=0,0,AB57)</f>
        <v>21538</v>
      </c>
      <c r="AF53" s="55">
        <f>IF(AE11=0,0,AC57)</f>
        <v>0</v>
      </c>
      <c r="AG53" s="61">
        <f>AE53+AF53</f>
        <v>21538</v>
      </c>
      <c r="AH53" s="57">
        <f>IF(AH11=0,0,AE57)</f>
        <v>5682</v>
      </c>
      <c r="AI53" s="55">
        <f>IF(AH11=0,0,AF57)</f>
        <v>0</v>
      </c>
      <c r="AJ53" s="61">
        <f>AH53+AI53</f>
        <v>5682</v>
      </c>
      <c r="AK53" s="57">
        <f>IF(AK11=0,0,AH57)</f>
        <v>2907</v>
      </c>
      <c r="AL53" s="55">
        <f>IF(AK11=0,0,AI57)</f>
        <v>0</v>
      </c>
      <c r="AM53" s="61">
        <f>AK53+AL53</f>
        <v>2907</v>
      </c>
      <c r="AN53" s="57">
        <f>D53</f>
        <v>15750</v>
      </c>
      <c r="AO53" s="55">
        <f>E53</f>
        <v>0</v>
      </c>
      <c r="AP53" s="61">
        <f>AN53+AO53</f>
        <v>15750</v>
      </c>
      <c r="AQ53" s="32"/>
      <c r="AR53" s="29" t="s">
        <v>183</v>
      </c>
      <c r="AS53" s="38"/>
    </row>
    <row r="54" spans="1:45" ht="27.75" customHeight="1" x14ac:dyDescent="0.5">
      <c r="A54" s="8"/>
      <c r="B54" t="s">
        <v>184</v>
      </c>
      <c r="C54" s="13"/>
      <c r="D54" s="57">
        <f>IFERROR(IF((DeurvoerSweet!K5)="",0,(DeurvoerSweet!K5)),0)</f>
        <v>0</v>
      </c>
      <c r="E54" s="55">
        <f>IFERROR(IF((DeurvoerBitter!K5)="",0,(DeurvoerBitter!K5)),0)</f>
        <v>0</v>
      </c>
      <c r="F54" s="61">
        <f>D54+E54</f>
        <v>0</v>
      </c>
      <c r="G54" s="57">
        <f>IFERROR(IF((DeurvoerSweet!K6)="",0,(DeurvoerSweet!K6)),0)</f>
        <v>22218</v>
      </c>
      <c r="H54" s="55">
        <f>IFERROR(IF((DeurvoerBitter!K6)="",0,(DeurvoerBitter!K6)),0)</f>
        <v>0</v>
      </c>
      <c r="I54" s="61">
        <f>G54+H54</f>
        <v>22218</v>
      </c>
      <c r="J54" s="57">
        <f>IFERROR(IF((DeurvoerSweet!K7)="",0,(DeurvoerSweet!K7)),0)</f>
        <v>0</v>
      </c>
      <c r="K54" s="55">
        <f>IFERROR(IF((DeurvoerBitter!K7)="",0,(DeurvoerBitter!K7)),0)</f>
        <v>0</v>
      </c>
      <c r="L54" s="61">
        <f>J54+K54</f>
        <v>0</v>
      </c>
      <c r="M54" s="57">
        <f>IFERROR(IF((DeurvoerSweet!K8)="",0,(DeurvoerSweet!K8)),0)</f>
        <v>1960</v>
      </c>
      <c r="N54" s="55">
        <f>IFERROR(IF((DeurvoerBitter!K8)="",0,(DeurvoerBitter!K8)),0)</f>
        <v>0</v>
      </c>
      <c r="O54" s="61">
        <f>M54+N54</f>
        <v>1960</v>
      </c>
      <c r="P54" s="57">
        <f>IFERROR(IF((DeurvoerSweet!K9)="",0,(DeurvoerSweet!K9)),0)</f>
        <v>6453</v>
      </c>
      <c r="Q54" s="55">
        <f>IFERROR(IF((DeurvoerBitter!K9)="",0,(DeurvoerBitter!K9)),0)</f>
        <v>0</v>
      </c>
      <c r="R54" s="61">
        <f>P54+Q54</f>
        <v>6453</v>
      </c>
      <c r="S54" s="57">
        <f>IFERROR(IF((DeurvoerSweet!K10)="",0,(DeurvoerSweet!K10)),0)</f>
        <v>0</v>
      </c>
      <c r="T54" s="55">
        <f>IFERROR(IF((DeurvoerBitter!K10)="",0,(DeurvoerBitter!K10)),0)</f>
        <v>0</v>
      </c>
      <c r="U54" s="61">
        <f>S54+T54</f>
        <v>0</v>
      </c>
      <c r="V54" s="57">
        <f>IFERROR(IF((DeurvoerSweet!K11)="",0,(DeurvoerSweet!K11)),0)</f>
        <v>19998</v>
      </c>
      <c r="W54" s="55">
        <f>IFERROR(IF((DeurvoerBitter!K11)="",0,(DeurvoerBitter!K11)),0)</f>
        <v>0</v>
      </c>
      <c r="X54" s="61">
        <f>V54+W54</f>
        <v>19998</v>
      </c>
      <c r="Y54" s="57">
        <f>IFERROR(IF((DeurvoerSweet!K12)="",0,(DeurvoerSweet!K12)),0)</f>
        <v>1970</v>
      </c>
      <c r="Z54" s="55">
        <f>IFERROR(IF((DeurvoerBitter!K12)="",0,(DeurvoerBitter!K12)),0)</f>
        <v>0</v>
      </c>
      <c r="AA54" s="61">
        <f>Y54+Z54</f>
        <v>1970</v>
      </c>
      <c r="AB54" s="57">
        <f>IFERROR(IF((DeurvoerSweet!K13)="",0,(DeurvoerSweet!K13)),0)</f>
        <v>15353</v>
      </c>
      <c r="AC54" s="55">
        <f>IFERROR(IF((DeurvoerBitter!K13)="",0,(DeurvoerBitter!K13)),0)</f>
        <v>0</v>
      </c>
      <c r="AD54" s="61">
        <f>AB54+AC54</f>
        <v>15353</v>
      </c>
      <c r="AE54" s="57">
        <f>IFERROR(IF((DeurvoerSweet!K14)="",0,(DeurvoerSweet!K14)),0)</f>
        <v>0</v>
      </c>
      <c r="AF54" s="55">
        <f>IFERROR(IF((DeurvoerBitter!K14)="",0,(DeurvoerBitter!K14)),0)</f>
        <v>0</v>
      </c>
      <c r="AG54" s="61">
        <f>AE54+AF54</f>
        <v>0</v>
      </c>
      <c r="AH54" s="57">
        <f>IFERROR(IF((DeurvoerSweet!K15)="",0,(DeurvoerSweet!K15)),0)</f>
        <v>0</v>
      </c>
      <c r="AI54" s="55">
        <f>IFERROR(IF((DeurvoerBitter!K15)="",0,(DeurvoerBitter!K15)),0)</f>
        <v>0</v>
      </c>
      <c r="AJ54" s="61">
        <f>AH54+AI54</f>
        <v>0</v>
      </c>
      <c r="AK54" s="57">
        <f>IFERROR(IF((DeurvoerSweet!K16)="",0,(DeurvoerSweet!K16)),0)</f>
        <v>0</v>
      </c>
      <c r="AL54" s="55">
        <f>IFERROR(IF((DeurvoerBitter!K16)="",0,(DeurvoerBitter!K16)),0)</f>
        <v>0</v>
      </c>
      <c r="AM54" s="61">
        <f>AK54+AL54</f>
        <v>0</v>
      </c>
      <c r="AN54" s="57">
        <f t="shared" ref="AN54:AO56" si="26">D54+G54+J54+M54+P54+S54+V54+Y54+AB54+AE54+AH54+AK54</f>
        <v>67952</v>
      </c>
      <c r="AO54" s="55">
        <f t="shared" si="26"/>
        <v>0</v>
      </c>
      <c r="AP54" s="61">
        <f>AN54+AO54</f>
        <v>67952</v>
      </c>
      <c r="AQ54" s="32"/>
      <c r="AR54" s="29" t="s">
        <v>185</v>
      </c>
      <c r="AS54" s="38"/>
    </row>
    <row r="55" spans="1:45" ht="27.75" customHeight="1" x14ac:dyDescent="0.5">
      <c r="A55" s="8"/>
      <c r="B55" t="s">
        <v>186</v>
      </c>
      <c r="C55" s="13"/>
      <c r="D55" s="57">
        <f>IFERROR(IF((DeurvoerSweet!L5)="",0,(DeurvoerSweet!L5)),0)</f>
        <v>10575</v>
      </c>
      <c r="E55" s="55">
        <f>IFERROR(IF((DeurvoerBitter!L5)="",0,(DeurvoerBitter!L5)),0)</f>
        <v>0</v>
      </c>
      <c r="F55" s="61">
        <f>D55+E55</f>
        <v>10575</v>
      </c>
      <c r="G55" s="57">
        <f>IFERROR(IF((DeurvoerSweet!L6)="",0,(DeurvoerSweet!L6)),0)</f>
        <v>9702</v>
      </c>
      <c r="H55" s="55">
        <f>IFERROR(IF((DeurvoerBitter!L6)="",0,(DeurvoerBitter!L6)),0)</f>
        <v>0</v>
      </c>
      <c r="I55" s="61">
        <f>G55+H55</f>
        <v>9702</v>
      </c>
      <c r="J55" s="57">
        <f>IFERROR(IF((DeurvoerSweet!L7)="",0,(DeurvoerSweet!L7)),0)</f>
        <v>7603</v>
      </c>
      <c r="K55" s="55">
        <f>IFERROR(IF((DeurvoerBitter!L7)="",0,(DeurvoerBitter!L7)),0)</f>
        <v>0</v>
      </c>
      <c r="L55" s="61">
        <f>J55+K55</f>
        <v>7603</v>
      </c>
      <c r="M55" s="57">
        <f>IFERROR(IF((DeurvoerSweet!L8)="",0,(DeurvoerSweet!L8)),0)</f>
        <v>3909</v>
      </c>
      <c r="N55" s="55">
        <f>IFERROR(IF((DeurvoerBitter!L8)="",0,(DeurvoerBitter!L8)),0)</f>
        <v>0</v>
      </c>
      <c r="O55" s="61">
        <f>M55+N55</f>
        <v>3909</v>
      </c>
      <c r="P55" s="57">
        <f>IFERROR(IF((DeurvoerSweet!L9)="",0,(DeurvoerSweet!L9)),0)</f>
        <v>1890</v>
      </c>
      <c r="Q55" s="55">
        <f>IFERROR(IF((DeurvoerBitter!L9)="",0,(DeurvoerBitter!L9)),0)</f>
        <v>0</v>
      </c>
      <c r="R55" s="61">
        <f>P55+Q55</f>
        <v>1890</v>
      </c>
      <c r="S55" s="57">
        <f>IFERROR(IF((DeurvoerSweet!L10)="",0,(DeurvoerSweet!L10)),0)</f>
        <v>7087</v>
      </c>
      <c r="T55" s="55">
        <f>IFERROR(IF((DeurvoerBitter!L10)="",0,(DeurvoerBitter!L10)),0)</f>
        <v>0</v>
      </c>
      <c r="U55" s="61">
        <f>S55+T55</f>
        <v>7087</v>
      </c>
      <c r="V55" s="57">
        <f>IFERROR(IF((DeurvoerSweet!L11)="",0,(DeurvoerSweet!L11)),0)</f>
        <v>3062</v>
      </c>
      <c r="W55" s="55">
        <f>IFERROR(IF((DeurvoerBitter!L11)="",0,(DeurvoerBitter!L11)),0)</f>
        <v>0</v>
      </c>
      <c r="X55" s="61">
        <f>V55+W55</f>
        <v>3062</v>
      </c>
      <c r="Y55" s="57">
        <f>IFERROR(IF((DeurvoerSweet!L12)="",0,(DeurvoerSweet!L12)),0)</f>
        <v>7776</v>
      </c>
      <c r="Z55" s="55">
        <f>IFERROR(IF((DeurvoerBitter!L12)="",0,(DeurvoerBitter!L12)),0)</f>
        <v>0</v>
      </c>
      <c r="AA55" s="61">
        <f>Y55+Z55</f>
        <v>7776</v>
      </c>
      <c r="AB55" s="57">
        <f>IFERROR(IF((DeurvoerSweet!L13)="",0,(DeurvoerSweet!L13)),0)</f>
        <v>10485</v>
      </c>
      <c r="AC55" s="55">
        <f>IFERROR(IF((DeurvoerBitter!L13)="",0,(DeurvoerBitter!L13)),0)</f>
        <v>0</v>
      </c>
      <c r="AD55" s="61">
        <f>AB55+AC55</f>
        <v>10485</v>
      </c>
      <c r="AE55" s="57">
        <f>IFERROR(IF((DeurvoerSweet!L14)="",0,(DeurvoerSweet!L14)),0)</f>
        <v>15958</v>
      </c>
      <c r="AF55" s="55">
        <f>IFERROR(IF((DeurvoerBitter!L14)="",0,(DeurvoerBitter!L14)),0)</f>
        <v>0</v>
      </c>
      <c r="AG55" s="61">
        <f>AE55+AF55</f>
        <v>15958</v>
      </c>
      <c r="AH55" s="57">
        <f>IFERROR(IF((DeurvoerSweet!L15)="",0,(DeurvoerSweet!L15)),0)</f>
        <v>2775</v>
      </c>
      <c r="AI55" s="55">
        <f>IFERROR(IF((DeurvoerBitter!L15)="",0,(DeurvoerBitter!L15)),0)</f>
        <v>0</v>
      </c>
      <c r="AJ55" s="61">
        <f>AH55+AI55</f>
        <v>2775</v>
      </c>
      <c r="AK55" s="57">
        <f>IFERROR(IF((DeurvoerSweet!L16)="",0,(DeurvoerSweet!L16)),0)</f>
        <v>405</v>
      </c>
      <c r="AL55" s="55">
        <f>IFERROR(IF((DeurvoerBitter!L16)="",0,(DeurvoerBitter!L16)),0)</f>
        <v>0</v>
      </c>
      <c r="AM55" s="61">
        <f>AK55+AL55</f>
        <v>405</v>
      </c>
      <c r="AN55" s="57">
        <f t="shared" si="26"/>
        <v>81227</v>
      </c>
      <c r="AO55" s="55">
        <f t="shared" si="26"/>
        <v>0</v>
      </c>
      <c r="AP55" s="61">
        <f>AN55+AO55</f>
        <v>81227</v>
      </c>
      <c r="AQ55" s="32"/>
      <c r="AR55" s="29" t="s">
        <v>187</v>
      </c>
      <c r="AS55" s="38"/>
    </row>
    <row r="56" spans="1:45" ht="27.75" customHeight="1" x14ac:dyDescent="0.5">
      <c r="A56" s="8"/>
      <c r="B56" t="s">
        <v>188</v>
      </c>
      <c r="C56" s="13"/>
      <c r="D56" s="58">
        <f>IFERROR(IF((DeurvoerSweet!N5-DeurvoerSweet!M5)="",0,(DeurvoerSweet!N5-DeurvoerSweet!M5)),0)</f>
        <v>-6</v>
      </c>
      <c r="E56" s="54">
        <f>IFERROR(IF((DeurvoerBitter!N5-DeurvoerBitter!M5)="",0,(DeurvoerBitter!N5-DeurvoerBitter!M5)),0)</f>
        <v>0</v>
      </c>
      <c r="F56" s="62">
        <f>D56+E56</f>
        <v>-6</v>
      </c>
      <c r="G56" s="58">
        <f>IFERROR(IF((DeurvoerSweet!N6-DeurvoerSweet!M6)="",0,(DeurvoerSweet!N6-DeurvoerSweet!M6)),0)</f>
        <v>0</v>
      </c>
      <c r="H56" s="54">
        <f>IFERROR(IF((DeurvoerBitter!N6-DeurvoerBitter!M6)="",0,(DeurvoerBitter!N6-DeurvoerBitter!M6)),0)</f>
        <v>0</v>
      </c>
      <c r="I56" s="62">
        <f>G56+H56</f>
        <v>0</v>
      </c>
      <c r="J56" s="58">
        <f>IFERROR(IF((DeurvoerSweet!N7-DeurvoerSweet!M7)="",0,(DeurvoerSweet!N7-DeurvoerSweet!M7)),0)</f>
        <v>57</v>
      </c>
      <c r="K56" s="54">
        <f>IFERROR(IF((DeurvoerBitter!N7-DeurvoerBitter!M7)="",0,(DeurvoerBitter!N7-DeurvoerBitter!M7)),0)</f>
        <v>0</v>
      </c>
      <c r="L56" s="62">
        <f>J56+K56</f>
        <v>57</v>
      </c>
      <c r="M56" s="58">
        <f>IFERROR(IF((DeurvoerSweet!N8-DeurvoerSweet!M8)="",0,(DeurvoerSweet!N8-DeurvoerSweet!M8)),0)</f>
        <v>0</v>
      </c>
      <c r="N56" s="54">
        <f>IFERROR(IF((DeurvoerBitter!N8-DeurvoerBitter!M8)="",0,(DeurvoerBitter!N8-DeurvoerBitter!M8)),0)</f>
        <v>0</v>
      </c>
      <c r="O56" s="62">
        <f>M56+N56</f>
        <v>0</v>
      </c>
      <c r="P56" s="58">
        <f>IFERROR(IF((DeurvoerSweet!N9-DeurvoerSweet!M9)="",0,(DeurvoerSweet!N9-DeurvoerSweet!M9)),0)</f>
        <v>1</v>
      </c>
      <c r="Q56" s="54">
        <f>IFERROR(IF((DeurvoerBitter!N9-DeurvoerBitter!M9)="",0,(DeurvoerBitter!N9-DeurvoerBitter!M9)),0)</f>
        <v>0</v>
      </c>
      <c r="R56" s="62">
        <f>P56+Q56</f>
        <v>1</v>
      </c>
      <c r="S56" s="58">
        <f>IFERROR(IF((DeurvoerSweet!N10-DeurvoerSweet!M10)="",0,(DeurvoerSweet!N10-DeurvoerSweet!M10)),0)</f>
        <v>-14</v>
      </c>
      <c r="T56" s="54">
        <f>IFERROR(IF((DeurvoerBitter!N10-DeurvoerBitter!M10)="",0,(DeurvoerBitter!N10-DeurvoerBitter!M10)),0)</f>
        <v>0</v>
      </c>
      <c r="U56" s="62">
        <f>S56+T56</f>
        <v>-14</v>
      </c>
      <c r="V56" s="58">
        <f>IFERROR(IF((DeurvoerSweet!N11-DeurvoerSweet!M11)="",0,(DeurvoerSweet!N11-DeurvoerSweet!M11)),0)</f>
        <v>0</v>
      </c>
      <c r="W56" s="54">
        <f>IFERROR(IF((DeurvoerBitter!N11-DeurvoerBitter!M11)="",0,(DeurvoerBitter!N11-DeurvoerBitter!M11)),0)</f>
        <v>0</v>
      </c>
      <c r="X56" s="62">
        <f>V56+W56</f>
        <v>0</v>
      </c>
      <c r="Y56" s="58">
        <f>IFERROR(IF((DeurvoerSweet!N12-DeurvoerSweet!M12)="",0,(DeurvoerSweet!N12-DeurvoerSweet!M12)),0)</f>
        <v>0</v>
      </c>
      <c r="Z56" s="54">
        <f>IFERROR(IF((DeurvoerBitter!N12-DeurvoerBitter!M12)="",0,(DeurvoerBitter!N12-DeurvoerBitter!M12)),0)</f>
        <v>0</v>
      </c>
      <c r="AA56" s="62">
        <f>Y56+Z56</f>
        <v>0</v>
      </c>
      <c r="AB56" s="58">
        <f>IFERROR(IF((DeurvoerSweet!N13-DeurvoerSweet!M13)="",0,(DeurvoerSweet!N13-DeurvoerSweet!M13)),0)</f>
        <v>37</v>
      </c>
      <c r="AC56" s="54">
        <f>IFERROR(IF((DeurvoerBitter!N13-DeurvoerBitter!M13)="",0,(DeurvoerBitter!N13-DeurvoerBitter!M13)),0)</f>
        <v>0</v>
      </c>
      <c r="AD56" s="62">
        <f>AB56+AC56</f>
        <v>37</v>
      </c>
      <c r="AE56" s="58">
        <f>IFERROR(IF((DeurvoerSweet!N14-DeurvoerSweet!M14)="",0,(DeurvoerSweet!N14-DeurvoerSweet!M14)),0)</f>
        <v>-102</v>
      </c>
      <c r="AF56" s="54">
        <f>IFERROR(IF((DeurvoerBitter!N14-DeurvoerBitter!M14)="",0,(DeurvoerBitter!N14-DeurvoerBitter!M14)),0)</f>
        <v>0</v>
      </c>
      <c r="AG56" s="62">
        <f>AE56+AF56</f>
        <v>-102</v>
      </c>
      <c r="AH56" s="58">
        <f>IFERROR(IF((DeurvoerSweet!N15-DeurvoerSweet!M15)="",0,(DeurvoerSweet!N15-DeurvoerSweet!M15)),0)</f>
        <v>0</v>
      </c>
      <c r="AI56" s="54">
        <f>IFERROR(IF((DeurvoerBitter!N15-DeurvoerBitter!M15)="",0,(DeurvoerBitter!N15-DeurvoerBitter!M15)),0)</f>
        <v>0</v>
      </c>
      <c r="AJ56" s="62">
        <f>AH56+AI56</f>
        <v>0</v>
      </c>
      <c r="AK56" s="58">
        <f>IFERROR(IF((DeurvoerSweet!N16-DeurvoerSweet!M16)="",0,(DeurvoerSweet!N16-DeurvoerSweet!M16)),0)</f>
        <v>0</v>
      </c>
      <c r="AL56" s="54">
        <f>IFERROR(IF((DeurvoerBitter!N16-DeurvoerBitter!M16)="",0,(DeurvoerBitter!N16-DeurvoerBitter!M16)),0)</f>
        <v>0</v>
      </c>
      <c r="AM56" s="62">
        <f>AK56+AL56</f>
        <v>0</v>
      </c>
      <c r="AN56" s="58">
        <f t="shared" si="26"/>
        <v>-27</v>
      </c>
      <c r="AO56" s="54">
        <f t="shared" si="26"/>
        <v>0</v>
      </c>
      <c r="AP56" s="62">
        <f>AN56+AO56</f>
        <v>-27</v>
      </c>
      <c r="AQ56" s="32"/>
      <c r="AR56" s="29" t="s">
        <v>189</v>
      </c>
      <c r="AS56" s="38"/>
    </row>
    <row r="57" spans="1:45" ht="27.75" customHeight="1" x14ac:dyDescent="0.5">
      <c r="A57" s="9"/>
      <c r="B57" s="11" t="s">
        <v>190</v>
      </c>
      <c r="C57" s="14"/>
      <c r="D57" s="59">
        <f>D53+D54-D55-D56</f>
        <v>5181</v>
      </c>
      <c r="E57" s="52">
        <f>E53+E54-E55-ED56</f>
        <v>0</v>
      </c>
      <c r="F57" s="63">
        <f>D57+E57</f>
        <v>5181</v>
      </c>
      <c r="G57" s="59">
        <f>G53+G54-G55-G56</f>
        <v>17697</v>
      </c>
      <c r="H57" s="52">
        <f>H53+H54-H55-H56</f>
        <v>0</v>
      </c>
      <c r="I57" s="63">
        <f>G57+H57</f>
        <v>17697</v>
      </c>
      <c r="J57" s="59">
        <f>J53+J54-J55-J56</f>
        <v>10037</v>
      </c>
      <c r="K57" s="52">
        <f>K53+K54-K55-K56</f>
        <v>0</v>
      </c>
      <c r="L57" s="63">
        <f>J57+K57</f>
        <v>10037</v>
      </c>
      <c r="M57" s="59">
        <f>M53+M54-M55-M56</f>
        <v>8088</v>
      </c>
      <c r="N57" s="52">
        <f>N53+N54-N55-N56</f>
        <v>0</v>
      </c>
      <c r="O57" s="63">
        <f>M57+N57</f>
        <v>8088</v>
      </c>
      <c r="P57" s="59">
        <f>P53+P54-P55-P56</f>
        <v>12650</v>
      </c>
      <c r="Q57" s="52">
        <f>Q53+Q54-Q55-Q56</f>
        <v>0</v>
      </c>
      <c r="R57" s="63">
        <f>P57+Q57</f>
        <v>12650</v>
      </c>
      <c r="S57" s="59">
        <f>S53+S54-S55-S56</f>
        <v>5577</v>
      </c>
      <c r="T57" s="52">
        <f>T53+T54-T55-T56</f>
        <v>0</v>
      </c>
      <c r="U57" s="63">
        <f>S57+T57</f>
        <v>5577</v>
      </c>
      <c r="V57" s="59">
        <f>V53+V54-V55-V56</f>
        <v>22513</v>
      </c>
      <c r="W57" s="52">
        <f>W53+W54-W55-W56</f>
        <v>0</v>
      </c>
      <c r="X57" s="63">
        <f>V57+W57</f>
        <v>22513</v>
      </c>
      <c r="Y57" s="59">
        <f>Y53+Y54-Y55-Y56</f>
        <v>16707</v>
      </c>
      <c r="Z57" s="52">
        <f>Z53+Z54-Z55-Z56</f>
        <v>0</v>
      </c>
      <c r="AA57" s="63">
        <f>Y57+Z57</f>
        <v>16707</v>
      </c>
      <c r="AB57" s="59">
        <f>AB53+AB54-AB55-AB56</f>
        <v>21538</v>
      </c>
      <c r="AC57" s="52">
        <f>AC53+AC54-AC55-AC56</f>
        <v>0</v>
      </c>
      <c r="AD57" s="63">
        <f>AB57+AC57</f>
        <v>21538</v>
      </c>
      <c r="AE57" s="59">
        <f>AE53+AE54-AE55-AE56</f>
        <v>5682</v>
      </c>
      <c r="AF57" s="52">
        <f>AF53+AF54-AF55-AF56</f>
        <v>0</v>
      </c>
      <c r="AG57" s="63">
        <f>AE57+AF57</f>
        <v>5682</v>
      </c>
      <c r="AH57" s="59">
        <f>AH53+AH54-AH55-AH56</f>
        <v>2907</v>
      </c>
      <c r="AI57" s="52">
        <f>AI53+AI54-AI55-AI56</f>
        <v>0</v>
      </c>
      <c r="AJ57" s="63">
        <f>AH57+AI57</f>
        <v>2907</v>
      </c>
      <c r="AK57" s="59">
        <f>AK53+AK54-AK55-AK56</f>
        <v>2502</v>
      </c>
      <c r="AL57" s="52">
        <f>AL53+AL54-AL55-AL56</f>
        <v>0</v>
      </c>
      <c r="AM57" s="63">
        <f>AK57+AL57</f>
        <v>2502</v>
      </c>
      <c r="AN57" s="59">
        <f>AN53+AN54-AN55-AN56</f>
        <v>2502</v>
      </c>
      <c r="AO57" s="52">
        <f>AO53+AO54-AO55-AO56</f>
        <v>0</v>
      </c>
      <c r="AP57" s="63">
        <f>AN57+AO57</f>
        <v>2502</v>
      </c>
      <c r="AQ57" s="31"/>
      <c r="AR57" s="40" t="s">
        <v>191</v>
      </c>
      <c r="AS57" s="37"/>
    </row>
    <row r="58" spans="1:45" ht="27.75" customHeight="1" x14ac:dyDescent="0.5"/>
    <row r="59" spans="1:45" ht="27.75" customHeight="1" x14ac:dyDescent="0.5">
      <c r="A59" t="s">
        <v>192</v>
      </c>
    </row>
    <row r="60" spans="1:45" ht="27.75" customHeight="1" x14ac:dyDescent="0.5">
      <c r="A60" t="s">
        <v>193</v>
      </c>
    </row>
    <row r="61" spans="1:45" ht="27.75" customHeight="1" x14ac:dyDescent="0.5">
      <c r="A61" t="s">
        <v>194</v>
      </c>
    </row>
    <row r="62" spans="1:45" ht="27.75" customHeight="1" x14ac:dyDescent="0.5">
      <c r="A62" t="s">
        <v>195</v>
      </c>
    </row>
    <row r="63" spans="1:45" ht="27.75" customHeight="1" x14ac:dyDescent="0.5"/>
    <row r="64" spans="1:45" ht="27.75" customHeight="1" x14ac:dyDescent="0.5"/>
    <row r="65" ht="27.75" customHeight="1" x14ac:dyDescent="0.5"/>
  </sheetData>
  <sheetProtection formatCells="0" formatColumns="0" formatRows="0" insertColumns="0" insertRows="0" insertHyperlinks="0" deleteColumns="0" deleteRows="0" sort="0" autoFilter="0" pivotTables="0"/>
  <mergeCells count="49">
    <mergeCell ref="A52:C52"/>
    <mergeCell ref="AQ52:AS52"/>
    <mergeCell ref="D1:AP1"/>
    <mergeCell ref="D2:AP2"/>
    <mergeCell ref="D3:AP3"/>
    <mergeCell ref="D4:AP4"/>
    <mergeCell ref="D5:F6"/>
    <mergeCell ref="G5:I6"/>
    <mergeCell ref="J5:L6"/>
    <mergeCell ref="M5:O6"/>
    <mergeCell ref="P5:R6"/>
    <mergeCell ref="S5:U6"/>
    <mergeCell ref="V5:X6"/>
    <mergeCell ref="Y5:AA6"/>
    <mergeCell ref="AB5:AD6"/>
    <mergeCell ref="AE5:AG6"/>
    <mergeCell ref="S10:U10"/>
    <mergeCell ref="V10:X10"/>
    <mergeCell ref="Y10:AA10"/>
    <mergeCell ref="AB10:AD10"/>
    <mergeCell ref="AE10:AG10"/>
    <mergeCell ref="D10:F10"/>
    <mergeCell ref="G10:I10"/>
    <mergeCell ref="J10:L10"/>
    <mergeCell ref="M10:O10"/>
    <mergeCell ref="P10:R10"/>
    <mergeCell ref="AN45:AP45"/>
    <mergeCell ref="AH5:AJ6"/>
    <mergeCell ref="AK5:AM6"/>
    <mergeCell ref="AH10:AJ10"/>
    <mergeCell ref="AK10:AM10"/>
    <mergeCell ref="AN5:AP5"/>
    <mergeCell ref="AN6:AP6"/>
    <mergeCell ref="AQ3:AS3"/>
    <mergeCell ref="AQ6:AS6"/>
    <mergeCell ref="AN12:AP12"/>
    <mergeCell ref="AN10:AP10"/>
    <mergeCell ref="D45:F45"/>
    <mergeCell ref="G45:I45"/>
    <mergeCell ref="J45:L45"/>
    <mergeCell ref="M45:O45"/>
    <mergeCell ref="P45:R45"/>
    <mergeCell ref="S45:U45"/>
    <mergeCell ref="V45:X45"/>
    <mergeCell ref="Y45:AA45"/>
    <mergeCell ref="AB45:AD45"/>
    <mergeCell ref="AE45:AG45"/>
    <mergeCell ref="AH45:AJ45"/>
    <mergeCell ref="AK45:AM45"/>
  </mergeCells>
  <pageMargins left="0.2" right="0.2" top="0.6" bottom="0.75" header="0.3" footer="0.3"/>
  <pageSetup paperSize="9" fitToWidth="2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65"/>
  <sheetViews>
    <sheetView zoomScale="50" workbookViewId="0">
      <selection activeCell="M11" sqref="M11"/>
    </sheetView>
  </sheetViews>
  <sheetFormatPr defaultRowHeight="28.2" x14ac:dyDescent="0.5"/>
  <cols>
    <col min="1" max="2" width="2.17578125" customWidth="1"/>
    <col min="3" max="3" width="34.17578125" customWidth="1"/>
    <col min="4" max="16" width="12" customWidth="1"/>
    <col min="17" max="17" width="34.17578125" customWidth="1"/>
    <col min="18" max="19" width="2.17578125" customWidth="1"/>
  </cols>
  <sheetData>
    <row r="1" spans="1:19" ht="30" customHeight="1" x14ac:dyDescent="0.5">
      <c r="A1" s="7"/>
      <c r="B1" s="10"/>
      <c r="C1" s="12"/>
      <c r="D1" s="135" t="s">
        <v>69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24"/>
      <c r="R1" s="10"/>
      <c r="S1" s="12"/>
    </row>
    <row r="2" spans="1:19" ht="30" customHeight="1" x14ac:dyDescent="0.5">
      <c r="A2" s="8"/>
      <c r="C2" s="13"/>
      <c r="D2" s="100" t="s">
        <v>196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Q2" s="100" t="str">
        <f>Langstaat!AQ3</f>
        <v>SMD-042017</v>
      </c>
      <c r="R2" s="101"/>
      <c r="S2" s="102"/>
    </row>
    <row r="3" spans="1:19" ht="30" customHeight="1" x14ac:dyDescent="0.5">
      <c r="A3" s="8"/>
      <c r="C3" s="13"/>
      <c r="D3" s="100" t="str">
        <f>Langstaat!D3</f>
        <v>2016/2017 Year(Mar - Feb) FINAL/ 2016/2017 Jaar(Mrt - Feb) FINAAL (2)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  <c r="Q3" s="47"/>
      <c r="R3" s="48"/>
      <c r="S3" s="49"/>
    </row>
    <row r="4" spans="1:19" ht="30" customHeight="1" x14ac:dyDescent="0.5">
      <c r="A4" s="8"/>
      <c r="C4" s="13"/>
      <c r="D4" s="136" t="s">
        <v>72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7"/>
      <c r="Q4" s="47"/>
      <c r="R4" s="48"/>
      <c r="S4" s="49"/>
    </row>
    <row r="5" spans="1:19" ht="30" customHeight="1" x14ac:dyDescent="0.5">
      <c r="A5" s="8"/>
      <c r="C5" s="13"/>
      <c r="D5" s="7"/>
      <c r="E5" s="10"/>
      <c r="F5" s="12"/>
      <c r="G5" s="122"/>
      <c r="H5" s="123"/>
      <c r="I5" s="124"/>
      <c r="J5" s="122" t="s">
        <v>85</v>
      </c>
      <c r="K5" s="123"/>
      <c r="L5" s="124"/>
      <c r="M5" s="45"/>
      <c r="N5" s="122" t="s">
        <v>85</v>
      </c>
      <c r="O5" s="123"/>
      <c r="P5" s="124"/>
      <c r="Q5" s="100" t="str">
        <f>Langstaat!AQ6</f>
        <v>2017-04-26</v>
      </c>
      <c r="R5" s="101"/>
      <c r="S5" s="102"/>
    </row>
    <row r="6" spans="1:19" ht="30" customHeight="1" x14ac:dyDescent="0.5">
      <c r="A6" s="8"/>
      <c r="C6" s="13"/>
      <c r="D6" s="125"/>
      <c r="E6" s="126"/>
      <c r="F6" s="127"/>
      <c r="G6" s="125" t="s">
        <v>197</v>
      </c>
      <c r="H6" s="126"/>
      <c r="I6" s="127"/>
      <c r="J6" s="125" t="str">
        <f>Langstaat!AN6</f>
        <v>Mar/Mrt 2016 - Feb 2017</v>
      </c>
      <c r="K6" s="126"/>
      <c r="L6" s="127"/>
      <c r="M6" s="64"/>
      <c r="N6" s="125"/>
      <c r="O6" s="126"/>
      <c r="P6" s="127"/>
      <c r="Q6" s="22"/>
      <c r="S6" s="13"/>
    </row>
    <row r="7" spans="1:19" ht="30" customHeight="1" x14ac:dyDescent="0.5">
      <c r="A7" s="8"/>
      <c r="C7" s="13"/>
      <c r="D7" s="45" t="s">
        <v>198</v>
      </c>
      <c r="E7" s="45" t="s">
        <v>199</v>
      </c>
      <c r="F7" s="45" t="s">
        <v>51</v>
      </c>
      <c r="G7" s="45" t="s">
        <v>198</v>
      </c>
      <c r="H7" s="45" t="s">
        <v>199</v>
      </c>
      <c r="I7" s="45" t="s">
        <v>51</v>
      </c>
      <c r="J7" s="45" t="s">
        <v>198</v>
      </c>
      <c r="K7" s="45" t="s">
        <v>199</v>
      </c>
      <c r="L7" s="45" t="s">
        <v>51</v>
      </c>
      <c r="M7" s="64" t="s">
        <v>200</v>
      </c>
      <c r="N7" s="45" t="s">
        <v>198</v>
      </c>
      <c r="O7" s="45" t="s">
        <v>199</v>
      </c>
      <c r="P7" s="45" t="s">
        <v>51</v>
      </c>
      <c r="Q7" s="22"/>
      <c r="S7" s="13"/>
    </row>
    <row r="8" spans="1:19" ht="30" customHeight="1" x14ac:dyDescent="0.5">
      <c r="A8" s="9"/>
      <c r="B8" s="11"/>
      <c r="C8" s="14"/>
      <c r="D8" s="46" t="s">
        <v>201</v>
      </c>
      <c r="E8" s="46" t="s">
        <v>88</v>
      </c>
      <c r="F8" s="46" t="s">
        <v>89</v>
      </c>
      <c r="G8" s="46" t="s">
        <v>201</v>
      </c>
      <c r="H8" s="46" t="s">
        <v>88</v>
      </c>
      <c r="I8" s="46" t="s">
        <v>89</v>
      </c>
      <c r="J8" s="46" t="s">
        <v>201</v>
      </c>
      <c r="K8" s="46" t="s">
        <v>88</v>
      </c>
      <c r="L8" s="46" t="s">
        <v>89</v>
      </c>
      <c r="M8" s="46" t="s">
        <v>202</v>
      </c>
      <c r="N8" s="46" t="s">
        <v>201</v>
      </c>
      <c r="O8" s="46" t="s">
        <v>88</v>
      </c>
      <c r="P8" s="46" t="s">
        <v>89</v>
      </c>
      <c r="Q8" s="66"/>
      <c r="R8" s="40"/>
      <c r="S8" s="37"/>
    </row>
    <row r="9" spans="1:19" ht="9.75" customHeight="1" x14ac:dyDescent="0.5">
      <c r="A9" s="1"/>
      <c r="M9" s="48"/>
      <c r="Q9" s="29"/>
      <c r="R9" s="29"/>
      <c r="S9" s="44"/>
    </row>
    <row r="10" spans="1:19" ht="30" customHeight="1" x14ac:dyDescent="0.5">
      <c r="A10" s="24"/>
      <c r="B10" s="10"/>
      <c r="C10" s="10"/>
      <c r="D10" s="104"/>
      <c r="E10" s="105"/>
      <c r="F10" s="106"/>
      <c r="G10" s="104"/>
      <c r="H10" s="105"/>
      <c r="I10" s="106"/>
      <c r="J10" s="104" t="str">
        <f>Langstaat!AN10</f>
        <v>1 Mar/Mrt 2016</v>
      </c>
      <c r="K10" s="105"/>
      <c r="L10" s="106"/>
      <c r="M10" s="65"/>
      <c r="N10" s="104" t="s">
        <v>203</v>
      </c>
      <c r="O10" s="105"/>
      <c r="P10" s="106"/>
      <c r="Q10" s="39"/>
      <c r="R10" s="39"/>
      <c r="S10" s="42"/>
    </row>
    <row r="11" spans="1:19" ht="30" customHeight="1" x14ac:dyDescent="0.5">
      <c r="A11" s="22" t="s">
        <v>102</v>
      </c>
      <c r="D11" s="52">
        <f>INDEX(Sweet!B39:'Sweet'!B50,MATCH(9.99999999999999E+307,Sweet!B39:'Sweet'!B50)-1)-INDEX(DeurvoerSweet!J5:'DeurvoerSweet'!J16,MATCH(9.99999999999999E+307,DeurvoerSweet!J5:'DeurvoerSweet'!J16)-1)</f>
        <v>54262</v>
      </c>
      <c r="E11" s="52">
        <f>INDEX(Bitter!B39:'Bitter'!B50,MATCH(9.99999999999999E+307,Bitter!B39:'Bitter'!B50)-1)-INDEX(DeurvoerBitter!J5:'DeurvoerBitter'!J16,MATCH(9.99999999999999E+307,DeurvoerBitter!J5:'DeurvoerBitter'!J16)-1)</f>
        <v>7622</v>
      </c>
      <c r="F11" s="52">
        <f>D11+E11</f>
        <v>61884</v>
      </c>
      <c r="G11" s="52">
        <f>INDEX(Sweet!B39:'Sweet'!B50,MATCH(9.99999999999999E+307,Sweet!B39:'Sweet'!B50)) - INDEX(DeurvoerSweet!J5:'DeurvoerSweet'!J16,MATCH(9.99999999999999E+307,DeurvoerSweet!J5:'DeurvoerSweet'!J16))</f>
        <v>43736</v>
      </c>
      <c r="H11" s="52">
        <f>INDEX(Bitter!B39:'Bitter'!B50,MATCH(9.99999999999999E+307,Bitter!B39:'Bitter'!B50)) - INDEX(DeurvoerBitter!J5:'DeurvoerBitter'!J16,MATCH(9.99999999999999E+307,DeurvoerBitter!J5:'DeurvoerBitter'!J16))</f>
        <v>4107</v>
      </c>
      <c r="I11" s="52">
        <f>G11+H11</f>
        <v>47843</v>
      </c>
      <c r="J11" s="52">
        <f>Langstaat!AN11</f>
        <v>57445</v>
      </c>
      <c r="K11" s="52">
        <f>Langstaat!AO11</f>
        <v>25697</v>
      </c>
      <c r="L11" s="52">
        <f>J11+K11</f>
        <v>83142</v>
      </c>
      <c r="M11" s="67">
        <f>ROUND(IFERROR((L11-P11)/P11*100,IF(L11-P11=0,0,100)),1)</f>
        <v>-31.7</v>
      </c>
      <c r="N11" s="52">
        <f>Sweet!B55 - DeurvoerSweet!J37</f>
        <v>66266</v>
      </c>
      <c r="O11" s="52">
        <f>Bitter!B55 - DeurvoerBitter!J37</f>
        <v>55546</v>
      </c>
      <c r="P11" s="52">
        <f>N11+O11</f>
        <v>121812</v>
      </c>
      <c r="Q11" s="29"/>
      <c r="R11" s="29"/>
      <c r="S11" s="41" t="s">
        <v>103</v>
      </c>
    </row>
    <row r="12" spans="1:19" ht="30" customHeight="1" x14ac:dyDescent="0.5">
      <c r="A12" s="22"/>
      <c r="D12" s="2"/>
      <c r="E12" s="2"/>
      <c r="F12" s="2"/>
      <c r="G12" s="2"/>
      <c r="H12" s="2"/>
      <c r="I12" s="2"/>
      <c r="J12" s="103" t="str">
        <f>Langstaat!AN12</f>
        <v>Prog. Mar/Mrt 2016 - Feb 2017</v>
      </c>
      <c r="K12" s="103"/>
      <c r="L12" s="103"/>
      <c r="M12" s="68"/>
      <c r="N12" s="103"/>
      <c r="O12" s="103"/>
      <c r="P12" s="103"/>
      <c r="Q12" s="29"/>
      <c r="R12" s="29"/>
      <c r="S12" s="41"/>
    </row>
    <row r="13" spans="1:19" ht="30" customHeight="1" x14ac:dyDescent="0.5">
      <c r="A13" s="22" t="s">
        <v>104</v>
      </c>
      <c r="D13" s="52">
        <f t="shared" ref="D13:L13" si="0">D14+D15</f>
        <v>1472</v>
      </c>
      <c r="E13" s="52">
        <f t="shared" si="0"/>
        <v>34</v>
      </c>
      <c r="F13" s="52">
        <f t="shared" si="0"/>
        <v>1506</v>
      </c>
      <c r="G13" s="52">
        <f t="shared" si="0"/>
        <v>792</v>
      </c>
      <c r="H13" s="52">
        <f t="shared" si="0"/>
        <v>0</v>
      </c>
      <c r="I13" s="52">
        <f t="shared" si="0"/>
        <v>792</v>
      </c>
      <c r="J13" s="52">
        <f t="shared" si="0"/>
        <v>127558</v>
      </c>
      <c r="K13" s="52">
        <f t="shared" si="0"/>
        <v>15977</v>
      </c>
      <c r="L13" s="52">
        <f t="shared" si="0"/>
        <v>143535</v>
      </c>
      <c r="M13" s="67">
        <f>ROUND(IFERROR((L13-P13)/P13*100,IF(L13-P13=0,0,100)),1)</f>
        <v>-7.1</v>
      </c>
      <c r="N13" s="52">
        <f>N14+N15</f>
        <v>133505</v>
      </c>
      <c r="O13" s="52">
        <f>O14+O15</f>
        <v>21042</v>
      </c>
      <c r="P13" s="52">
        <f>P14+P15</f>
        <v>154547</v>
      </c>
      <c r="Q13" s="29"/>
      <c r="R13" s="29"/>
      <c r="S13" s="41" t="s">
        <v>105</v>
      </c>
    </row>
    <row r="14" spans="1:19" ht="30" customHeight="1" x14ac:dyDescent="0.5">
      <c r="A14" s="22"/>
      <c r="B14" s="7" t="s">
        <v>106</v>
      </c>
      <c r="C14" s="10"/>
      <c r="D14" s="53">
        <f>INDEX(Sweet!C39:'Sweet'!C50,MATCH(9.99999999999999E+307,Sweet!C39:'Sweet'!C50)-1)</f>
        <v>1447</v>
      </c>
      <c r="E14" s="53">
        <f>INDEX(Bitter!C39:'Bitter'!C50,MATCH(9.99999999999999E+307,Bitter!C39:'Bitter'!C50)-1)</f>
        <v>34</v>
      </c>
      <c r="F14" s="53">
        <f>D14+E14</f>
        <v>1481</v>
      </c>
      <c r="G14" s="53">
        <f>INDEX(Sweet!C39:'Sweet'!C50,MATCH(9.99999999999999E+307,Sweet!C39:'Sweet'!C50))</f>
        <v>792</v>
      </c>
      <c r="H14" s="53">
        <f>INDEX(Bitter!C39:'Bitter'!C50,MATCH(9.99999999999999E+307,Bitter!C39:'Bitter'!C50))</f>
        <v>0</v>
      </c>
      <c r="I14" s="53">
        <f>G14+H14</f>
        <v>792</v>
      </c>
      <c r="J14" s="53">
        <f>Langstaat!AN14</f>
        <v>52601</v>
      </c>
      <c r="K14" s="53">
        <f>Langstaat!AO14</f>
        <v>15977</v>
      </c>
      <c r="L14" s="53">
        <f>J14+K14</f>
        <v>68578</v>
      </c>
      <c r="M14" s="69">
        <f>ROUND(IFERROR((L14-P14)/P14*100,IF(L14-P14=0,0,100)),1)</f>
        <v>-43</v>
      </c>
      <c r="N14" s="53">
        <f>Sweet!C67</f>
        <v>99189</v>
      </c>
      <c r="O14" s="53">
        <f>Bitter!C67</f>
        <v>21042</v>
      </c>
      <c r="P14" s="53">
        <f>N14+O14</f>
        <v>120231</v>
      </c>
      <c r="Q14" s="39"/>
      <c r="R14" s="36" t="s">
        <v>107</v>
      </c>
      <c r="S14" s="41"/>
    </row>
    <row r="15" spans="1:19" ht="30" customHeight="1" x14ac:dyDescent="0.5">
      <c r="A15" s="22"/>
      <c r="B15" s="9" t="s">
        <v>108</v>
      </c>
      <c r="C15" s="11"/>
      <c r="D15" s="54">
        <f>INDEX(Sweet!D39:'Sweet'!D50,MATCH(9.99999999999999E+307,Sweet!D39:'Sweet'!D50)-1)+INDEX(Sweet!E39:'Sweet'!E50,MATCH(9.99999999999999E+307,Sweet!E39:'Sweet'!E50)-1)-INDEX(DeurvoerSweet!K5:'DeurvoerSweet'!K16,MATCH(9.99999999999999E+307,DeurvoerSweet!K5:'DeurvoerSweet'!K16)-1)</f>
        <v>25</v>
      </c>
      <c r="E15" s="54">
        <f>INDEX(Bitter!D39:'Bitter'!D50,MATCH(9.99999999999999E+307,Bitter!D39:'Bitter'!D50)-1)+INDEX(Bitter!E39:'Bitter'!E50,MATCH(9.99999999999999E+307,Bitter!E39:'Bitter'!E50)-1)-INDEX(DeurvoerBitter!K5:'DeurvoerBitter'!K16,MATCH(9.99999999999999E+307,DeurvoerBitter!K5:'DeurvoerBitter'!K16)-1)</f>
        <v>0</v>
      </c>
      <c r="F15" s="54">
        <f>D15+E15</f>
        <v>25</v>
      </c>
      <c r="G15" s="54">
        <f>INDEX(Sweet!D39:'Sweet'!D50,MATCH(9.99999999999999E+307,Sweet!D39:'Sweet'!D50))+INDEX(Sweet!E39:'Sweet'!E50,MATCH(9.99999999999999E+307,Sweet!E39:'Sweet'!E50)) - INDEX(DeurvoerSweet!K5:'DeurvoerSweet'!K16,MATCH(9.99999999999999E+307,DeurvoerSweet!K5:'DeurvoerSweet'!K16))</f>
        <v>0</v>
      </c>
      <c r="H15" s="54">
        <f>INDEX(Bitter!D39:'Bitter'!D50,MATCH(9.99999999999999E+307,Bitter!D39:'Bitter'!D50))+INDEX(Bitter!E39:'Bitter'!E50,MATCH(9.99999999999999E+307,Bitter!E39:'Bitter'!E50)) - INDEX(DeurvoerBitter!K5:'DeurvoerBitter'!K16,MATCH(9.99999999999999E+307,DeurvoerBitter!K5:'DeurvoerBitter'!K16))</f>
        <v>0</v>
      </c>
      <c r="I15" s="54">
        <f>G15+H15</f>
        <v>0</v>
      </c>
      <c r="J15" s="54">
        <f>Langstaat!AN15</f>
        <v>74957</v>
      </c>
      <c r="K15" s="54">
        <f>Langstaat!AO15</f>
        <v>0</v>
      </c>
      <c r="L15" s="54">
        <f>J15+K15</f>
        <v>74957</v>
      </c>
      <c r="M15" s="70">
        <f>ROUND(IFERROR((L15-P15)/P15*100,IF(L15-P15=0,0,100)),1)</f>
        <v>118.4</v>
      </c>
      <c r="N15" s="54">
        <f>Sweet!D67+Sweet!E67-DeurvoerSweet!K49</f>
        <v>34316</v>
      </c>
      <c r="O15" s="54">
        <f>Bitter!D67+Bitter!E67-DeurvoerBitter!K49</f>
        <v>0</v>
      </c>
      <c r="P15" s="54">
        <f>N15+O15</f>
        <v>34316</v>
      </c>
      <c r="Q15" s="40"/>
      <c r="R15" s="37" t="s">
        <v>109</v>
      </c>
      <c r="S15" s="41"/>
    </row>
    <row r="16" spans="1:19" ht="30" customHeight="1" x14ac:dyDescent="0.5">
      <c r="A16" s="22"/>
      <c r="D16" s="2"/>
      <c r="E16" s="2"/>
      <c r="F16" s="2"/>
      <c r="G16" s="2"/>
      <c r="H16" s="2"/>
      <c r="I16" s="2"/>
      <c r="J16" s="2"/>
      <c r="K16" s="2"/>
      <c r="L16" s="2"/>
      <c r="M16" s="68"/>
      <c r="N16" s="2"/>
      <c r="O16" s="2"/>
      <c r="P16" s="2"/>
      <c r="Q16" s="29"/>
      <c r="R16" s="29"/>
      <c r="S16" s="41"/>
    </row>
    <row r="17" spans="1:19" ht="30" customHeight="1" x14ac:dyDescent="0.5">
      <c r="A17" s="22" t="s">
        <v>110</v>
      </c>
      <c r="D17" s="52">
        <f t="shared" ref="D17:I17" si="1">D18+D29+D30+D31</f>
        <v>9328</v>
      </c>
      <c r="E17" s="52">
        <f t="shared" si="1"/>
        <v>3881</v>
      </c>
      <c r="F17" s="52">
        <f t="shared" si="1"/>
        <v>13209</v>
      </c>
      <c r="G17" s="52">
        <f t="shared" si="1"/>
        <v>12216</v>
      </c>
      <c r="H17" s="52">
        <f t="shared" si="1"/>
        <v>514</v>
      </c>
      <c r="I17" s="52">
        <f t="shared" si="1"/>
        <v>12730</v>
      </c>
      <c r="J17" s="52">
        <f>J18 + J29 + J30 + J31</f>
        <v>138095</v>
      </c>
      <c r="K17" s="52">
        <f>K18 + K29 + K30 + K31</f>
        <v>34073</v>
      </c>
      <c r="L17" s="52">
        <f>L18 + L29 + L30 + L31</f>
        <v>172168</v>
      </c>
      <c r="M17" s="67">
        <f t="shared" ref="M17:M31" si="2">ROUND(IFERROR((L17-P17)/P17*100,IF(L17-P17=0,0,100)),1)</f>
        <v>4.3</v>
      </c>
      <c r="N17" s="52">
        <f>N18+N29+N30+N31</f>
        <v>117408</v>
      </c>
      <c r="O17" s="52">
        <f>O18+O29+O30+O31</f>
        <v>47593</v>
      </c>
      <c r="P17" s="52">
        <f>P18+P29+P30+P31</f>
        <v>165001</v>
      </c>
      <c r="Q17" s="29"/>
      <c r="R17" s="29"/>
      <c r="S17" s="41" t="s">
        <v>111</v>
      </c>
    </row>
    <row r="18" spans="1:19" ht="30" customHeight="1" x14ac:dyDescent="0.5">
      <c r="A18" s="22"/>
      <c r="B18" s="7" t="s">
        <v>204</v>
      </c>
      <c r="C18" s="10"/>
      <c r="D18" s="52">
        <f t="shared" ref="D18:K18" si="3">D19+D25</f>
        <v>9251</v>
      </c>
      <c r="E18" s="52">
        <f t="shared" si="3"/>
        <v>3881</v>
      </c>
      <c r="F18" s="52">
        <f t="shared" si="3"/>
        <v>13132</v>
      </c>
      <c r="G18" s="52">
        <f t="shared" si="3"/>
        <v>12144</v>
      </c>
      <c r="H18" s="52">
        <f t="shared" si="3"/>
        <v>514</v>
      </c>
      <c r="I18" s="52">
        <f t="shared" si="3"/>
        <v>12658</v>
      </c>
      <c r="J18" s="52">
        <f t="shared" si="3"/>
        <v>136753</v>
      </c>
      <c r="K18" s="52">
        <f t="shared" si="3"/>
        <v>33562</v>
      </c>
      <c r="L18" s="52">
        <f>J18+K18</f>
        <v>170315</v>
      </c>
      <c r="M18" s="67">
        <f t="shared" si="2"/>
        <v>6.6</v>
      </c>
      <c r="N18" s="52">
        <f>N19+N25</f>
        <v>114499</v>
      </c>
      <c r="O18" s="52">
        <f>O19+O25</f>
        <v>45325</v>
      </c>
      <c r="P18" s="52">
        <f>P19+P25</f>
        <v>159824</v>
      </c>
      <c r="Q18" s="39"/>
      <c r="R18" s="36" t="s">
        <v>205</v>
      </c>
      <c r="S18" s="41"/>
    </row>
    <row r="19" spans="1:19" ht="30" customHeight="1" x14ac:dyDescent="0.5">
      <c r="A19" s="22"/>
      <c r="B19" s="8"/>
      <c r="C19" t="s">
        <v>206</v>
      </c>
      <c r="D19" s="52">
        <f t="shared" ref="D19:L19" si="4">SUM(D20:D24)</f>
        <v>8641</v>
      </c>
      <c r="E19" s="52">
        <f t="shared" si="4"/>
        <v>3722</v>
      </c>
      <c r="F19" s="52">
        <f t="shared" si="4"/>
        <v>12363</v>
      </c>
      <c r="G19" s="52">
        <f t="shared" si="4"/>
        <v>11546</v>
      </c>
      <c r="H19" s="52">
        <f t="shared" si="4"/>
        <v>467</v>
      </c>
      <c r="I19" s="52">
        <f t="shared" si="4"/>
        <v>12013</v>
      </c>
      <c r="J19" s="52">
        <f t="shared" si="4"/>
        <v>129495</v>
      </c>
      <c r="K19" s="52">
        <f t="shared" si="4"/>
        <v>31109</v>
      </c>
      <c r="L19" s="52">
        <f t="shared" si="4"/>
        <v>160604</v>
      </c>
      <c r="M19" s="67">
        <f t="shared" si="2"/>
        <v>7.5</v>
      </c>
      <c r="N19" s="52">
        <f>SUM(N20:N24)</f>
        <v>107509</v>
      </c>
      <c r="O19" s="52">
        <f>SUM(O20:O24)</f>
        <v>41902</v>
      </c>
      <c r="P19" s="52">
        <f>SUM(P20:P24)</f>
        <v>149411</v>
      </c>
      <c r="Q19" s="29" t="s">
        <v>115</v>
      </c>
      <c r="R19" s="38"/>
      <c r="S19" s="41"/>
    </row>
    <row r="20" spans="1:19" ht="30" customHeight="1" x14ac:dyDescent="0.5">
      <c r="A20" s="22"/>
      <c r="B20" s="8"/>
      <c r="C20" s="7" t="s">
        <v>116</v>
      </c>
      <c r="D20" s="53">
        <f>INDEX(Sweet!I39:'Sweet'!I50,MATCH(9.99999999999999E+307,Sweet!I39:'Sweet'!I50)-1)-INDEX(ProdExpSweet!B5:'ProdExpSweet'!B16,MATCH(9.99999999999999E+307,ProdExpSweet!B5:'ProdExpSweet'!B16)-1)</f>
        <v>517</v>
      </c>
      <c r="E20" s="53">
        <f>INDEX(Bitter!I39:'Bitter'!I50,MATCH(9.99999999999999E+307,Bitter!I39:'Bitter'!I50)-1)-INDEX(ProdExpBitter!B5:'ProdExpBitter'!B16,MATCH(9.99999999999999E+307,ProdExpBitter!B5:'ProdExpBitter'!B16)-1)</f>
        <v>424</v>
      </c>
      <c r="F20" s="53">
        <f>D20+E20</f>
        <v>941</v>
      </c>
      <c r="G20" s="53">
        <f>INDEX(Sweet!I39:'Sweet'!I50,MATCH(9.99999999999999E+307,Sweet!I39:'Sweet'!I50))-INDEX(ProdExpSweet!B5:'ProdExpSweet'!B16,MATCH(9.99999999999999E+307,ProdExpSweet!B5:'ProdExpSweet'!B16))</f>
        <v>633</v>
      </c>
      <c r="H20" s="53">
        <f>INDEX(Bitter!I39:'Bitter'!I50,MATCH(9.99999999999999E+307,Bitter!I39:'Bitter'!I50))-INDEX(ProdExpBitter!B5:'ProdExpBitter'!B16,MATCH(9.99999999999999E+307,ProdExpBitter!B5:'ProdExpBitter'!B16))</f>
        <v>275</v>
      </c>
      <c r="I20" s="53">
        <f>G20+H20</f>
        <v>908</v>
      </c>
      <c r="J20" s="53">
        <f>Langstaat!AN20</f>
        <v>3614</v>
      </c>
      <c r="K20" s="53">
        <f>Langstaat!AO20</f>
        <v>8092</v>
      </c>
      <c r="L20" s="53">
        <f t="shared" ref="L20:L31" si="5">J20+K20</f>
        <v>11706</v>
      </c>
      <c r="M20" s="69">
        <f t="shared" si="2"/>
        <v>5.4</v>
      </c>
      <c r="N20" s="53">
        <f>Sweet!I67 - ProdExpSweet!B36</f>
        <v>246</v>
      </c>
      <c r="O20" s="53">
        <f>Bitter!I67 - ProdExpBitter!B36</f>
        <v>10859</v>
      </c>
      <c r="P20" s="53">
        <f>N20+O20</f>
        <v>11105</v>
      </c>
      <c r="Q20" s="36" t="s">
        <v>117</v>
      </c>
      <c r="R20" s="38"/>
      <c r="S20" s="41"/>
    </row>
    <row r="21" spans="1:19" ht="30" customHeight="1" x14ac:dyDescent="0.5">
      <c r="A21" s="22"/>
      <c r="B21" s="8"/>
      <c r="C21" s="8" t="s">
        <v>118</v>
      </c>
      <c r="D21" s="55">
        <f>INDEX(Sweet!J39:'Sweet'!J50,MATCH(9.99999999999999E+307,Sweet!J39:'Sweet'!J50)-1)-INDEX(ProdExpSweet!C5:'ProdExpSweet'!C16,MATCH(9.99999999999999E+307,ProdExpSweet!C5:'ProdExpSweet'!C16)-1)</f>
        <v>1173</v>
      </c>
      <c r="E21" s="55">
        <f>INDEX(Bitter!J39:'Bitter'!J50,MATCH(9.99999999999999E+307,Bitter!J39:'Bitter'!J50)-1)-INDEX(ProdExpBitter!C5:'ProdExpBitter'!C16,MATCH(9.99999999999999E+307,ProdExpBitter!C5:'ProdExpBitter'!C16)-1)</f>
        <v>3298</v>
      </c>
      <c r="F21" s="55">
        <f>D21+E21</f>
        <v>4471</v>
      </c>
      <c r="G21" s="55">
        <f>INDEX(Sweet!J39:'Sweet'!J50,MATCH(9.99999999999999E+307,Sweet!J39:'Sweet'!J50))-INDEX(ProdExpSweet!C5:'ProdExpSweet'!C16,MATCH(9.99999999999999E+307,ProdExpSweet!C5:'ProdExpSweet'!C16))</f>
        <v>3735</v>
      </c>
      <c r="H21" s="55">
        <f>INDEX(Bitter!J39:'Bitter'!J50,MATCH(9.99999999999999E+307,Bitter!J39:'Bitter'!J50))-INDEX(ProdExpBitter!C5:'ProdExpBitter'!C16,MATCH(9.99999999999999E+307,ProdExpBitter!C5:'ProdExpBitter'!C16))</f>
        <v>192</v>
      </c>
      <c r="I21" s="55">
        <f>G21+H21</f>
        <v>3927</v>
      </c>
      <c r="J21" s="55">
        <f>Langstaat!AN21</f>
        <v>28518</v>
      </c>
      <c r="K21" s="55">
        <f>Langstaat!AO21</f>
        <v>22508</v>
      </c>
      <c r="L21" s="55">
        <f t="shared" si="5"/>
        <v>51026</v>
      </c>
      <c r="M21" s="71">
        <f t="shared" si="2"/>
        <v>1.5</v>
      </c>
      <c r="N21" s="55">
        <f>Sweet!J67 - ProdExpSweet!C36</f>
        <v>20041</v>
      </c>
      <c r="O21" s="55">
        <f>Bitter!J67 - ProdExpBitter!C36</f>
        <v>30224</v>
      </c>
      <c r="P21" s="55">
        <f>N21+O21</f>
        <v>50265</v>
      </c>
      <c r="Q21" s="38" t="s">
        <v>119</v>
      </c>
      <c r="R21" s="38"/>
      <c r="S21" s="41"/>
    </row>
    <row r="22" spans="1:19" ht="30" customHeight="1" x14ac:dyDescent="0.5">
      <c r="A22" s="22"/>
      <c r="B22" s="8"/>
      <c r="C22" s="8" t="s">
        <v>120</v>
      </c>
      <c r="D22" s="55">
        <f>INDEX(Sweet!K39:'Sweet'!K50,MATCH(9.99999999999999E+307,Sweet!K39:'Sweet'!K50)-1)-INDEX(ProdExpSweet!D5:'ProdExpSweet'!D16,MATCH(9.99999999999999E+307,ProdExpSweet!D5:'ProdExpSweet'!D16)-1)</f>
        <v>6951</v>
      </c>
      <c r="E22" s="55">
        <f>INDEX(Bitter!K39:'Bitter'!K50,MATCH(9.99999999999999E+307,Bitter!K39:'Bitter'!K50)-1)-INDEX(ProdExpBitter!D5:'ProdExpBitter'!D16,MATCH(9.99999999999999E+307,ProdExpBitter!D5:'ProdExpBitter'!D16)-1)</f>
        <v>0</v>
      </c>
      <c r="F22" s="55">
        <f>D22+E22</f>
        <v>6951</v>
      </c>
      <c r="G22" s="55">
        <f>INDEX(Sweet!K39:'Sweet'!K50,MATCH(9.99999999999999E+307,Sweet!K39:'Sweet'!K50))-INDEX(ProdExpSweet!D5:'ProdExpSweet'!D16,MATCH(9.99999999999999E+307,ProdExpSweet!D5:'ProdExpSweet'!D16))</f>
        <v>7178</v>
      </c>
      <c r="H22" s="55">
        <f>INDEX(Bitter!K39:'Bitter'!K50,MATCH(9.99999999999999E+307,Bitter!K39:'Bitter'!K50))-INDEX(ProdExpBitter!D5:'ProdExpBitter'!D16,MATCH(9.99999999999999E+307,ProdExpBitter!D5:'ProdExpBitter'!D16))</f>
        <v>0</v>
      </c>
      <c r="I22" s="55">
        <f>G22+H22</f>
        <v>7178</v>
      </c>
      <c r="J22" s="55">
        <f>Langstaat!AN22</f>
        <v>97363</v>
      </c>
      <c r="K22" s="55">
        <f>Langstaat!AO22</f>
        <v>509</v>
      </c>
      <c r="L22" s="55">
        <f t="shared" si="5"/>
        <v>97872</v>
      </c>
      <c r="M22" s="71">
        <f t="shared" si="2"/>
        <v>11.2</v>
      </c>
      <c r="N22" s="55">
        <f>Sweet!K67 - ProdExpSweet!D36</f>
        <v>87222</v>
      </c>
      <c r="O22" s="55">
        <f>Bitter!K67 - ProdExpBitter!D36</f>
        <v>819</v>
      </c>
      <c r="P22" s="55">
        <f>N22+O22</f>
        <v>88041</v>
      </c>
      <c r="Q22" s="38" t="s">
        <v>121</v>
      </c>
      <c r="R22" s="38"/>
      <c r="S22" s="41"/>
    </row>
    <row r="23" spans="1:19" ht="30" customHeight="1" x14ac:dyDescent="0.5">
      <c r="A23" s="22"/>
      <c r="B23" s="8"/>
      <c r="C23" s="8" t="s">
        <v>207</v>
      </c>
      <c r="D23" s="55">
        <f>INDEX(Sweet!L39:'Sweet'!L50,MATCH(9.99999999999999E+307,Sweet!L39:'Sweet'!L50)-1)-INDEX(ProdExpSweet!E5:'ProdExpSweet'!E16,MATCH(9.99999999999999E+307,ProdExpSweet!E5:'ProdExpSweet'!E16)-1)</f>
        <v>0</v>
      </c>
      <c r="E23" s="55">
        <f>INDEX(Bitter!L39:'Bitter'!L50,MATCH(9.99999999999999E+307,Bitter!L39:'Bitter'!L50)-1)-INDEX(ProdExpBitter!E5:'ProdExpBitter'!E16,MATCH(9.99999999999999E+307,ProdExpBitter!E5:'ProdExpBitter'!E16)-1)</f>
        <v>0</v>
      </c>
      <c r="F23" s="55">
        <f>D23+E23</f>
        <v>0</v>
      </c>
      <c r="G23" s="55">
        <f>INDEX(Sweet!L39:'Sweet'!L50,MATCH(9.99999999999999E+307,Sweet!L39:'Sweet'!L50))-INDEX(ProdExpSweet!E5:'ProdExpSweet'!E16,MATCH(9.99999999999999E+307,ProdExpSweet!E5:'ProdExpSweet'!E16))</f>
        <v>0</v>
      </c>
      <c r="H23" s="55">
        <f>INDEX(Bitter!L39:'Bitter'!L50,MATCH(9.99999999999999E+307,Bitter!L39:'Bitter'!L50))-INDEX(ProdExpBitter!E5:'ProdExpBitter'!E16,MATCH(9.99999999999999E+307,ProdExpBitter!E5:'ProdExpBitter'!E16))</f>
        <v>0</v>
      </c>
      <c r="I23" s="55">
        <f>G23+H23</f>
        <v>0</v>
      </c>
      <c r="J23" s="55">
        <f>Langstaat!AN23</f>
        <v>0</v>
      </c>
      <c r="K23" s="55">
        <f>Langstaat!AO23</f>
        <v>0</v>
      </c>
      <c r="L23" s="55">
        <f t="shared" si="5"/>
        <v>0</v>
      </c>
      <c r="M23" s="71">
        <f t="shared" si="2"/>
        <v>0</v>
      </c>
      <c r="N23" s="55">
        <f>Sweet!L67 - ProdExpSweet!E36</f>
        <v>0</v>
      </c>
      <c r="O23" s="55">
        <f>Bitter!L67 - ProdExpBitter!E36</f>
        <v>0</v>
      </c>
      <c r="P23" s="55">
        <f>N23+O23</f>
        <v>0</v>
      </c>
      <c r="Q23" s="38" t="s">
        <v>123</v>
      </c>
      <c r="R23" s="38"/>
      <c r="S23" s="41"/>
    </row>
    <row r="24" spans="1:19" ht="30" customHeight="1" x14ac:dyDescent="0.5">
      <c r="A24" s="22"/>
      <c r="B24" s="8"/>
      <c r="C24" s="9" t="s">
        <v>208</v>
      </c>
      <c r="D24" s="54">
        <f>INDEX(Sweet!M39:'Sweet'!M50,MATCH(9.99999999999999E+307,Sweet!M39:'Sweet'!M50)-1)-INDEX(ProdExpSweet!F5:'ProdExpSweet'!F16,MATCH(9.99999999999999E+307,ProdExpSweet!F5:'ProdExpSweet'!F16)-1)</f>
        <v>0</v>
      </c>
      <c r="E24" s="54">
        <f>INDEX(Bitter!M39:'Bitter'!M50,MATCH(9.99999999999999E+307,Bitter!M39:'Bitter'!M50)-1)-INDEX(ProdExpBitter!F5:'ProdExpBitter'!F16,MATCH(9.99999999999999E+307,ProdExpBitter!F5:'ProdExpBitter'!F16)-1)</f>
        <v>0</v>
      </c>
      <c r="F24" s="54">
        <f>D24+E24</f>
        <v>0</v>
      </c>
      <c r="G24" s="54">
        <f>INDEX(Sweet!M39:'Sweet'!M50,MATCH(9.99999999999999E+307,Sweet!M39:'Sweet'!M50))-INDEX(ProdExpSweet!F5:'ProdExpSweet'!F16,MATCH(9.99999999999999E+307,ProdExpSweet!F5:'ProdExpSweet'!F16))</f>
        <v>0</v>
      </c>
      <c r="H24" s="54">
        <f>INDEX(Bitter!M39:'Bitter'!M50,MATCH(9.99999999999999E+307,Bitter!M39:'Bitter'!M50))-INDEX(ProdExpBitter!F5:'ProdExpBitter'!F16,MATCH(9.99999999999999E+307,ProdExpBitter!F5:'ProdExpBitter'!F16))</f>
        <v>0</v>
      </c>
      <c r="I24" s="54">
        <f>G24+H24</f>
        <v>0</v>
      </c>
      <c r="J24" s="54">
        <f>Langstaat!AN24</f>
        <v>0</v>
      </c>
      <c r="K24" s="54">
        <f>Langstaat!AO24</f>
        <v>0</v>
      </c>
      <c r="L24" s="54">
        <f t="shared" si="5"/>
        <v>0</v>
      </c>
      <c r="M24" s="70">
        <f t="shared" si="2"/>
        <v>0</v>
      </c>
      <c r="N24" s="54">
        <f>Sweet!M67 - ProdExpSweet!F36</f>
        <v>0</v>
      </c>
      <c r="O24" s="54">
        <f>Bitter!M67 - ProdExpBitter!F36</f>
        <v>0</v>
      </c>
      <c r="P24" s="54">
        <f>N24+O24</f>
        <v>0</v>
      </c>
      <c r="Q24" s="37" t="s">
        <v>125</v>
      </c>
      <c r="R24" s="38"/>
      <c r="S24" s="41"/>
    </row>
    <row r="25" spans="1:19" ht="30" customHeight="1" x14ac:dyDescent="0.5">
      <c r="A25" s="22"/>
      <c r="B25" s="8"/>
      <c r="C25" t="s">
        <v>126</v>
      </c>
      <c r="D25" s="52">
        <f t="shared" ref="D25:K25" si="6">SUM(D26:D28)</f>
        <v>610</v>
      </c>
      <c r="E25" s="52">
        <f t="shared" si="6"/>
        <v>159</v>
      </c>
      <c r="F25" s="52">
        <f t="shared" si="6"/>
        <v>769</v>
      </c>
      <c r="G25" s="52">
        <f t="shared" si="6"/>
        <v>598</v>
      </c>
      <c r="H25" s="52">
        <f t="shared" si="6"/>
        <v>47</v>
      </c>
      <c r="I25" s="52">
        <f t="shared" si="6"/>
        <v>645</v>
      </c>
      <c r="J25" s="52">
        <f t="shared" si="6"/>
        <v>7258</v>
      </c>
      <c r="K25" s="52">
        <f t="shared" si="6"/>
        <v>2453</v>
      </c>
      <c r="L25" s="52">
        <f t="shared" si="5"/>
        <v>9711</v>
      </c>
      <c r="M25" s="67">
        <f t="shared" si="2"/>
        <v>-6.7</v>
      </c>
      <c r="N25" s="52">
        <f>SUM(N26:N28)</f>
        <v>6990</v>
      </c>
      <c r="O25" s="52">
        <f>SUM(O26:O28)</f>
        <v>3423</v>
      </c>
      <c r="P25" s="52">
        <f>SUM(P26:P28)</f>
        <v>10413</v>
      </c>
      <c r="Q25" s="29" t="s">
        <v>127</v>
      </c>
      <c r="R25" s="38"/>
      <c r="S25" s="41"/>
    </row>
    <row r="26" spans="1:19" ht="30" customHeight="1" x14ac:dyDescent="0.5">
      <c r="A26" s="22"/>
      <c r="B26" s="8"/>
      <c r="C26" s="7" t="s">
        <v>128</v>
      </c>
      <c r="D26" s="53">
        <f>INDEX(Sweet!N39:'Sweet'!N50,MATCH(9.99999999999999E+307,Sweet!N39:'Sweet'!N50)-1)-INDEX(ProdExpSweet!G5:'ProdExpSweet'!G16,MATCH(9.99999999999999E+307,ProdExpSweet!G5:'ProdExpSweet'!G16)-1)</f>
        <v>72</v>
      </c>
      <c r="E26" s="53">
        <f>INDEX(Bitter!N39:'Bitter'!N50,MATCH(9.99999999999999E+307,Bitter!N39:'Bitter'!N50)-1)-INDEX(ProdExpBitter!G5:'ProdExpBitter'!G16,MATCH(9.99999999999999E+307,ProdExpBitter!G5:'ProdExpBitter'!G16)-1)</f>
        <v>0</v>
      </c>
      <c r="F26" s="53">
        <f t="shared" ref="F26:F31" si="7">D26+E26</f>
        <v>72</v>
      </c>
      <c r="G26" s="53">
        <f>INDEX(Sweet!N39:'Sweet'!N50,MATCH(9.99999999999999E+307,Sweet!N39:'Sweet'!N50))-INDEX(ProdExpSweet!G5:'ProdExpSweet'!G16,MATCH(9.99999999999999E+307,ProdExpSweet!G5:'ProdExpSweet'!G16))</f>
        <v>62</v>
      </c>
      <c r="H26" s="53">
        <f>INDEX(Bitter!N39:'Bitter'!N50,MATCH(9.99999999999999E+307,Bitter!N39:'Bitter'!N50))-INDEX(ProdExpBitter!G5:'ProdExpBitter'!G16,MATCH(9.99999999999999E+307,ProdExpBitter!G5:'ProdExpBitter'!G16))</f>
        <v>0</v>
      </c>
      <c r="I26" s="53">
        <f t="shared" ref="I26:I31" si="8">G26+H26</f>
        <v>62</v>
      </c>
      <c r="J26" s="53">
        <f>Langstaat!AN26</f>
        <v>937</v>
      </c>
      <c r="K26" s="53">
        <f>Langstaat!AO26</f>
        <v>64</v>
      </c>
      <c r="L26" s="53">
        <f t="shared" si="5"/>
        <v>1001</v>
      </c>
      <c r="M26" s="69">
        <f t="shared" si="2"/>
        <v>-2.7</v>
      </c>
      <c r="N26" s="53">
        <f>Sweet!N67 - ProdExpSweet!G36</f>
        <v>1029</v>
      </c>
      <c r="O26" s="53">
        <f>Bitter!N67 - ProdExpBitter!G36</f>
        <v>0</v>
      </c>
      <c r="P26" s="53">
        <f t="shared" ref="P26:P31" si="9">N26+O26</f>
        <v>1029</v>
      </c>
      <c r="Q26" s="36" t="s">
        <v>129</v>
      </c>
      <c r="R26" s="38"/>
      <c r="S26" s="41"/>
    </row>
    <row r="27" spans="1:19" ht="30" customHeight="1" x14ac:dyDescent="0.5">
      <c r="A27" s="22"/>
      <c r="B27" s="8"/>
      <c r="C27" s="8" t="s">
        <v>209</v>
      </c>
      <c r="D27" s="55">
        <f>INDEX(Sweet!O39:'Sweet'!O50,MATCH(9.99999999999999E+307,Sweet!O39:'Sweet'!O50)-1)-INDEX(ProdExpSweet!H5:'ProdExpSweet'!H16,MATCH(9.99999999999999E+307,ProdExpSweet!H5:'ProdExpSweet'!H16)-1)</f>
        <v>298</v>
      </c>
      <c r="E27" s="55">
        <f>INDEX(Bitter!O39:'Bitter'!O50,MATCH(9.99999999999999E+307,Bitter!O39:'Bitter'!O50)-1)-INDEX(ProdExpBitter!H5:'ProdExpBitter'!H16,MATCH(9.99999999999999E+307,ProdExpBitter!H5:'ProdExpBitter'!H16)-1)</f>
        <v>3</v>
      </c>
      <c r="F27" s="55">
        <f t="shared" si="7"/>
        <v>301</v>
      </c>
      <c r="G27" s="55">
        <f>INDEX(Sweet!O39:'Sweet'!O50,MATCH(9.99999999999999E+307,Sweet!O39:'Sweet'!O50))-INDEX(ProdExpSweet!H5:'ProdExpSweet'!H16,MATCH(9.99999999999999E+307,ProdExpSweet!H5:'ProdExpSweet'!H16))</f>
        <v>337</v>
      </c>
      <c r="H27" s="55">
        <f>INDEX(Bitter!O39:'Bitter'!O50,MATCH(9.99999999999999E+307,Bitter!O39:'Bitter'!O50))-INDEX(ProdExpBitter!H5:'ProdExpBitter'!H16,MATCH(9.99999999999999E+307,ProdExpBitter!H5:'ProdExpBitter'!H16))</f>
        <v>45</v>
      </c>
      <c r="I27" s="55">
        <f t="shared" si="8"/>
        <v>382</v>
      </c>
      <c r="J27" s="55">
        <f>Langstaat!AN27</f>
        <v>3227</v>
      </c>
      <c r="K27" s="55">
        <f>Langstaat!AO27</f>
        <v>760</v>
      </c>
      <c r="L27" s="55">
        <f t="shared" si="5"/>
        <v>3987</v>
      </c>
      <c r="M27" s="71">
        <f t="shared" si="2"/>
        <v>1</v>
      </c>
      <c r="N27" s="55">
        <f>Sweet!O67 - ProdExpSweet!H36</f>
        <v>2714</v>
      </c>
      <c r="O27" s="55">
        <f>Bitter!O67 - ProdExpBitter!H36</f>
        <v>1234</v>
      </c>
      <c r="P27" s="55">
        <f t="shared" si="9"/>
        <v>3948</v>
      </c>
      <c r="Q27" s="38" t="s">
        <v>131</v>
      </c>
      <c r="R27" s="38"/>
      <c r="S27" s="41"/>
    </row>
    <row r="28" spans="1:19" ht="30" customHeight="1" x14ac:dyDescent="0.5">
      <c r="A28" s="22"/>
      <c r="B28" s="8"/>
      <c r="C28" s="9" t="s">
        <v>210</v>
      </c>
      <c r="D28" s="54">
        <f>INDEX(Sweet!P39:'Sweet'!P50,MATCH(9.99999999999999E+307,Sweet!P39:'Sweet'!P50)-1)-INDEX(ProdExpSweet!I5:'ProdExpSweet'!I16,MATCH(9.99999999999999E+307,ProdExpSweet!I5:'ProdExpSweet'!I16)-1) + INDEX(Sweet!Z39:'Sweet'!Z50,MATCH(9.99999999999999E+307,Sweet!Z39:'Sweet'!Z50)-1)</f>
        <v>240</v>
      </c>
      <c r="E28" s="54">
        <f>INDEX(Bitter!P39:'Bitter'!P50,MATCH(9.99999999999999E+307,Bitter!P39:'Bitter'!P50)-1)-INDEX(ProdExpBitter!I5:'ProdExpBitter'!I16,MATCH(9.99999999999999E+307,ProdExpBitter!I5:'ProdExpBitter'!I16)-1) + INDEX(Bitter!Z39:'Bitter'!Z50,MATCH(9.99999999999999E+307,Bitter!Z39:'Bitter'!Z50)-1)</f>
        <v>156</v>
      </c>
      <c r="F28" s="54">
        <f t="shared" si="7"/>
        <v>396</v>
      </c>
      <c r="G28" s="54">
        <f>INDEX(Sweet!P39:'Sweet'!P50,MATCH(9.99999999999999E+307,Sweet!P39:'Sweet'!P50))-INDEX(ProdExpSweet!I5:'ProdExpSweet'!I16,MATCH(9.99999999999999E+307,ProdExpSweet!I5:'ProdExpSweet'!I16)) + INDEX(Sweet!Z39:'Sweet'!Z50,MATCH(9.99999999999999E+307,Sweet!Z39:'Sweet'!Z50))</f>
        <v>199</v>
      </c>
      <c r="H28" s="54">
        <f>INDEX(Bitter!P39:'Bitter'!P50,MATCH(9.99999999999999E+307,Bitter!P39:'Bitter'!P50))-INDEX(ProdExpBitter!I5:'ProdExpBitter'!I16,MATCH(9.99999999999999E+307,ProdExpBitter!I5:'ProdExpBitter'!I16)) + INDEX(Bitter!Z39:'Bitter'!Z50,MATCH(9.99999999999999E+307,Bitter!Z39:'Bitter'!Z50))</f>
        <v>2</v>
      </c>
      <c r="I28" s="54">
        <f t="shared" si="8"/>
        <v>201</v>
      </c>
      <c r="J28" s="54">
        <f>Langstaat!AN28</f>
        <v>3094</v>
      </c>
      <c r="K28" s="54">
        <f>Langstaat!AO28</f>
        <v>1629</v>
      </c>
      <c r="L28" s="54">
        <f t="shared" si="5"/>
        <v>4723</v>
      </c>
      <c r="M28" s="70">
        <f t="shared" si="2"/>
        <v>-13.1</v>
      </c>
      <c r="N28" s="54">
        <f>Sweet!P67 - ProdExpSweet!I36 + Sweet!Z67</f>
        <v>3247</v>
      </c>
      <c r="O28" s="54">
        <f>Bitter!P67 - ProdExpBitter!I36 + Bitter!Z67</f>
        <v>2189</v>
      </c>
      <c r="P28" s="54">
        <f t="shared" si="9"/>
        <v>5436</v>
      </c>
      <c r="Q28" s="37" t="s">
        <v>133</v>
      </c>
      <c r="R28" s="38"/>
      <c r="S28" s="41"/>
    </row>
    <row r="29" spans="1:19" ht="30" customHeight="1" x14ac:dyDescent="0.5">
      <c r="A29" s="22"/>
      <c r="B29" s="8" t="s">
        <v>18</v>
      </c>
      <c r="D29" s="53">
        <f>INDEX(Sweet!Q39:'Sweet'!Q50,MATCH(9.99999999999999E+307,Sweet!Q39:'Sweet'!Q50)-1)-INDEX(ProdExpSweet!J5:'ProdExpSweet'!J16,MATCH(9.99999999999999E+307,ProdExpSweet!J5:'ProdExpSweet'!J16)-1)</f>
        <v>0</v>
      </c>
      <c r="E29" s="53">
        <f>INDEX(Bitter!Q39:'Bitter'!Q50,MATCH(9.99999999999999E+307,Bitter!Q39:'Bitter'!Q50)-1)-INDEX(ProdExpBitter!J5:'ProdExpBitter'!J16,MATCH(9.99999999999999E+307,ProdExpBitter!J5:'ProdExpBitter'!J16)-1)</f>
        <v>0</v>
      </c>
      <c r="F29" s="53">
        <f t="shared" si="7"/>
        <v>0</v>
      </c>
      <c r="G29" s="53">
        <f>INDEX(Sweet!Q39:'Sweet'!Q50,MATCH(9.99999999999999E+307,Sweet!Q39:'Sweet'!Q50))-INDEX(ProdExpSweet!J5:'ProdExpSweet'!J16,MATCH(9.99999999999999E+307,ProdExpSweet!J5:'ProdExpSweet'!J16))</f>
        <v>0</v>
      </c>
      <c r="H29" s="53">
        <f>INDEX(Bitter!Q39:'Bitter'!Q50,MATCH(9.99999999999999E+307,Bitter!Q39:'Bitter'!Q50))-INDEX(ProdExpBitter!J5:'ProdExpBitter'!J16,MATCH(9.99999999999999E+307,ProdExpBitter!J5:'ProdExpBitter'!J16))</f>
        <v>0</v>
      </c>
      <c r="I29" s="53">
        <f t="shared" si="8"/>
        <v>0</v>
      </c>
      <c r="J29" s="53">
        <f>Langstaat!AN29</f>
        <v>0</v>
      </c>
      <c r="K29" s="53">
        <f>Langstaat!AO29</f>
        <v>0</v>
      </c>
      <c r="L29" s="53">
        <f t="shared" si="5"/>
        <v>0</v>
      </c>
      <c r="M29" s="69">
        <f t="shared" si="2"/>
        <v>0</v>
      </c>
      <c r="N29" s="53">
        <f>Sweet!Q67 - ProdExpSweet!J36</f>
        <v>0</v>
      </c>
      <c r="O29" s="53">
        <f>Bitter!Q67 - ProdExpBitter!J36</f>
        <v>0</v>
      </c>
      <c r="P29" s="53">
        <f t="shared" si="9"/>
        <v>0</v>
      </c>
      <c r="Q29" s="29"/>
      <c r="R29" s="38" t="s">
        <v>135</v>
      </c>
      <c r="S29" s="41"/>
    </row>
    <row r="30" spans="1:19" ht="30" customHeight="1" x14ac:dyDescent="0.5">
      <c r="A30" s="22"/>
      <c r="B30" s="8" t="s">
        <v>136</v>
      </c>
      <c r="D30" s="55">
        <f>INDEX(Sweet!T39:'Sweet'!T50,MATCH(9.99999999999999E+307,Sweet!T39:'Sweet'!T50)-1)</f>
        <v>32</v>
      </c>
      <c r="E30" s="55">
        <f>INDEX(Bitter!T39:'Bitter'!T50,MATCH(9.99999999999999E+307,Bitter!T39:'Bitter'!T50)-1)</f>
        <v>0</v>
      </c>
      <c r="F30" s="55">
        <f t="shared" si="7"/>
        <v>32</v>
      </c>
      <c r="G30" s="55">
        <f>INDEX(Sweet!T39:'Sweet'!T50,MATCH(9.99999999999999E+307,Sweet!T39:'Sweet'!T50))</f>
        <v>0</v>
      </c>
      <c r="H30" s="55">
        <f>INDEX(Bitter!T39:'Bitter'!T50,MATCH(9.99999999999999E+307,Bitter!T39:'Bitter'!T50))</f>
        <v>0</v>
      </c>
      <c r="I30" s="55">
        <f t="shared" si="8"/>
        <v>0</v>
      </c>
      <c r="J30" s="55">
        <f>Langstaat!AN30</f>
        <v>181</v>
      </c>
      <c r="K30" s="55">
        <f>Langstaat!AO30</f>
        <v>463</v>
      </c>
      <c r="L30" s="55">
        <f t="shared" si="5"/>
        <v>644</v>
      </c>
      <c r="M30" s="71">
        <f t="shared" si="2"/>
        <v>-74.900000000000006</v>
      </c>
      <c r="N30" s="55">
        <f>Sweet!T67</f>
        <v>987</v>
      </c>
      <c r="O30" s="55">
        <f>Bitter!T67</f>
        <v>1582</v>
      </c>
      <c r="P30" s="55">
        <f t="shared" si="9"/>
        <v>2569</v>
      </c>
      <c r="Q30" s="29"/>
      <c r="R30" s="38" t="s">
        <v>137</v>
      </c>
      <c r="S30" s="41"/>
    </row>
    <row r="31" spans="1:19" ht="30" customHeight="1" x14ac:dyDescent="0.5">
      <c r="A31" s="22"/>
      <c r="B31" s="9" t="s">
        <v>138</v>
      </c>
      <c r="C31" s="11"/>
      <c r="D31" s="54">
        <f>INDEX(Sweet!U39:'Sweet'!U50,MATCH(9.99999999999999E+307,Sweet!U39:'Sweet'!U50)-1)</f>
        <v>45</v>
      </c>
      <c r="E31" s="54">
        <f>INDEX(Bitter!U39:'Bitter'!U50,MATCH(9.99999999999999E+307,Bitter!U39:'Bitter'!U50)-1)</f>
        <v>0</v>
      </c>
      <c r="F31" s="54">
        <f t="shared" si="7"/>
        <v>45</v>
      </c>
      <c r="G31" s="54">
        <f>INDEX(Sweet!U39:'Sweet'!U50,MATCH(9.99999999999999E+307,Sweet!U39:'Sweet'!U50))</f>
        <v>72</v>
      </c>
      <c r="H31" s="54">
        <f>INDEX(Bitter!U39:'Bitter'!U50,MATCH(9.99999999999999E+307,Bitter!U39:'Bitter'!U50))</f>
        <v>0</v>
      </c>
      <c r="I31" s="54">
        <f t="shared" si="8"/>
        <v>72</v>
      </c>
      <c r="J31" s="54">
        <f>Langstaat!AN31</f>
        <v>1161</v>
      </c>
      <c r="K31" s="54">
        <f>Langstaat!AO31</f>
        <v>48</v>
      </c>
      <c r="L31" s="54">
        <f t="shared" si="5"/>
        <v>1209</v>
      </c>
      <c r="M31" s="70">
        <f t="shared" si="2"/>
        <v>-53.6</v>
      </c>
      <c r="N31" s="54">
        <f>Sweet!U67</f>
        <v>1922</v>
      </c>
      <c r="O31" s="54">
        <f>Bitter!U67</f>
        <v>686</v>
      </c>
      <c r="P31" s="54">
        <f t="shared" si="9"/>
        <v>2608</v>
      </c>
      <c r="Q31" s="40"/>
      <c r="R31" s="37" t="s">
        <v>139</v>
      </c>
      <c r="S31" s="41"/>
    </row>
    <row r="32" spans="1:19" ht="9.75" customHeight="1" x14ac:dyDescent="0.5">
      <c r="A32" s="22"/>
      <c r="D32" s="2"/>
      <c r="E32" s="2"/>
      <c r="F32" s="2"/>
      <c r="G32" s="2"/>
      <c r="H32" s="2"/>
      <c r="I32" s="2"/>
      <c r="J32" s="2"/>
      <c r="K32" s="2"/>
      <c r="L32" s="2"/>
      <c r="M32" s="68"/>
      <c r="N32" s="2"/>
      <c r="O32" s="2"/>
      <c r="P32" s="2"/>
      <c r="Q32" s="29"/>
      <c r="R32" s="29"/>
      <c r="S32" s="41"/>
    </row>
    <row r="33" spans="1:19" ht="30" customHeight="1" x14ac:dyDescent="0.5">
      <c r="A33" s="22" t="s">
        <v>211</v>
      </c>
      <c r="D33" s="52">
        <f t="shared" ref="D33:L33" si="10">D34+D37</f>
        <v>337</v>
      </c>
      <c r="E33" s="52">
        <f t="shared" si="10"/>
        <v>0</v>
      </c>
      <c r="F33" s="52">
        <f t="shared" si="10"/>
        <v>337</v>
      </c>
      <c r="G33" s="52">
        <f t="shared" si="10"/>
        <v>221</v>
      </c>
      <c r="H33" s="52">
        <f t="shared" si="10"/>
        <v>200</v>
      </c>
      <c r="I33" s="52">
        <f t="shared" si="10"/>
        <v>421</v>
      </c>
      <c r="J33" s="52">
        <f t="shared" si="10"/>
        <v>8369</v>
      </c>
      <c r="K33" s="52">
        <f t="shared" si="10"/>
        <v>4280</v>
      </c>
      <c r="L33" s="52">
        <f t="shared" si="10"/>
        <v>12649</v>
      </c>
      <c r="M33" s="67">
        <f t="shared" ref="M33:M39" si="11">ROUND(IFERROR((L33-P33)/P33*100,IF(L33-P33=0,0,100)),1)</f>
        <v>-56.4</v>
      </c>
      <c r="N33" s="52">
        <f>N34+N37</f>
        <v>23755</v>
      </c>
      <c r="O33" s="52">
        <f>O34+O37</f>
        <v>5284</v>
      </c>
      <c r="P33" s="52">
        <f>P34+P37</f>
        <v>29039</v>
      </c>
      <c r="Q33" s="29"/>
      <c r="R33" s="29"/>
      <c r="S33" s="41" t="s">
        <v>212</v>
      </c>
    </row>
    <row r="34" spans="1:19" ht="30" customHeight="1" x14ac:dyDescent="0.5">
      <c r="A34" s="22"/>
      <c r="B34" s="7" t="s">
        <v>213</v>
      </c>
      <c r="C34" s="10"/>
      <c r="D34" s="52">
        <f>D35+D36</f>
        <v>328</v>
      </c>
      <c r="E34" s="52">
        <f>E35+E36</f>
        <v>0</v>
      </c>
      <c r="F34" s="52">
        <f>F35+F36</f>
        <v>328</v>
      </c>
      <c r="G34" s="52">
        <f>SUM(G35:G36)</f>
        <v>116</v>
      </c>
      <c r="H34" s="52">
        <f>SUM(H35:H36)</f>
        <v>200</v>
      </c>
      <c r="I34" s="52">
        <f>SUM(I35:I36)</f>
        <v>316</v>
      </c>
      <c r="J34" s="52">
        <f>J35+J36</f>
        <v>2141</v>
      </c>
      <c r="K34" s="52">
        <f>K35+K36</f>
        <v>3066</v>
      </c>
      <c r="L34" s="52">
        <f>L35+L36</f>
        <v>5207</v>
      </c>
      <c r="M34" s="67">
        <f t="shared" si="11"/>
        <v>12.4</v>
      </c>
      <c r="N34" s="52">
        <f>N35+N36</f>
        <v>0</v>
      </c>
      <c r="O34" s="52">
        <f>O35+O36</f>
        <v>4633</v>
      </c>
      <c r="P34" s="52">
        <f>P35+P36</f>
        <v>4633</v>
      </c>
      <c r="Q34" s="39"/>
      <c r="R34" s="36" t="s">
        <v>214</v>
      </c>
      <c r="S34" s="41"/>
    </row>
    <row r="35" spans="1:19" ht="30" customHeight="1" x14ac:dyDescent="0.5">
      <c r="A35" s="22"/>
      <c r="B35" s="8"/>
      <c r="C35" s="7" t="s">
        <v>144</v>
      </c>
      <c r="D35" s="53">
        <f>INDEX(Sweet!AD39:'Sweet'!AD50,MATCH(9.99999999999999E+307,Sweet!AD39:'Sweet'!AD50)-1)</f>
        <v>328</v>
      </c>
      <c r="E35" s="53">
        <f>INDEX(Bitter!AD39:'Bitter'!AD50,MATCH(9.99999999999999E+307,Bitter!AD39:'Bitter'!AD50)-1)</f>
        <v>0</v>
      </c>
      <c r="F35" s="53">
        <f>D35+E35</f>
        <v>328</v>
      </c>
      <c r="G35" s="53">
        <f>INDEX(Sweet!AD39:'Sweet'!AD50,MATCH(9.99999999999999E+307,Sweet!AD39:'Sweet'!AD50))</f>
        <v>116</v>
      </c>
      <c r="H35" s="53">
        <f>INDEX(Bitter!AD39:'Bitter'!AD50,MATCH(9.99999999999999E+307,Bitter!AD39:'Bitter'!AD50))</f>
        <v>200</v>
      </c>
      <c r="I35" s="53">
        <f>G35+H35</f>
        <v>316</v>
      </c>
      <c r="J35" s="53">
        <f>Langstaat!AN35</f>
        <v>2141</v>
      </c>
      <c r="K35" s="53">
        <f>Langstaat!AO35</f>
        <v>3066</v>
      </c>
      <c r="L35" s="53">
        <f>J35+K35</f>
        <v>5207</v>
      </c>
      <c r="M35" s="69">
        <f t="shared" si="11"/>
        <v>12.4</v>
      </c>
      <c r="N35" s="53">
        <f>Sweet!AD67</f>
        <v>0</v>
      </c>
      <c r="O35" s="53">
        <f>Bitter!AD67</f>
        <v>4633</v>
      </c>
      <c r="P35" s="53">
        <f>N35+O35</f>
        <v>4633</v>
      </c>
      <c r="Q35" s="36" t="s">
        <v>145</v>
      </c>
      <c r="R35" s="38"/>
      <c r="S35" s="41"/>
    </row>
    <row r="36" spans="1:19" ht="30" customHeight="1" x14ac:dyDescent="0.5">
      <c r="A36" s="22"/>
      <c r="B36" s="8"/>
      <c r="C36" s="9" t="s">
        <v>146</v>
      </c>
      <c r="D36" s="54">
        <f>INDEX(Sweet!AE39:'Sweet'!AE50,MATCH(9.99999999999999E+307,Sweet!AE39:'Sweet'!AE50)-1)</f>
        <v>0</v>
      </c>
      <c r="E36" s="54">
        <f>INDEX(Bitter!AE39:'Bitter'!AE50,MATCH(9.99999999999999E+307,Bitter!AE39:'Bitter'!AE50)-1)</f>
        <v>0</v>
      </c>
      <c r="F36" s="54">
        <f>D36+E36</f>
        <v>0</v>
      </c>
      <c r="G36" s="54">
        <f>INDEX(Sweet!AE39:'Sweet'!AE50,MATCH(9.99999999999999E+307,Sweet!AE39:'Sweet'!AE50))</f>
        <v>0</v>
      </c>
      <c r="H36" s="54">
        <f>INDEX(Bitter!AE39:'Bitter'!AE50,MATCH(9.99999999999999E+307,Bitter!AE39:'Bitter'!AE50))</f>
        <v>0</v>
      </c>
      <c r="I36" s="54">
        <f>G36+H36</f>
        <v>0</v>
      </c>
      <c r="J36" s="54">
        <f>Langstaat!AN36</f>
        <v>0</v>
      </c>
      <c r="K36" s="54">
        <f>Langstaat!AO36</f>
        <v>0</v>
      </c>
      <c r="L36" s="54">
        <f>J36+K36</f>
        <v>0</v>
      </c>
      <c r="M36" s="70">
        <f t="shared" si="11"/>
        <v>0</v>
      </c>
      <c r="N36" s="54">
        <f>Sweet!AE67</f>
        <v>0</v>
      </c>
      <c r="O36" s="54">
        <f>Bitter!AE67</f>
        <v>0</v>
      </c>
      <c r="P36" s="54">
        <f>N36+O36</f>
        <v>0</v>
      </c>
      <c r="Q36" s="37" t="s">
        <v>147</v>
      </c>
      <c r="R36" s="38"/>
      <c r="S36" s="41"/>
    </row>
    <row r="37" spans="1:19" ht="30" customHeight="1" x14ac:dyDescent="0.5">
      <c r="A37" s="22"/>
      <c r="B37" s="8" t="s">
        <v>148</v>
      </c>
      <c r="D37" s="52">
        <f t="shared" ref="D37:L37" si="12">D38+D39</f>
        <v>9</v>
      </c>
      <c r="E37" s="52">
        <f t="shared" si="12"/>
        <v>0</v>
      </c>
      <c r="F37" s="52">
        <f t="shared" si="12"/>
        <v>9</v>
      </c>
      <c r="G37" s="52">
        <f t="shared" si="12"/>
        <v>105</v>
      </c>
      <c r="H37" s="52">
        <f t="shared" si="12"/>
        <v>0</v>
      </c>
      <c r="I37" s="52">
        <f t="shared" si="12"/>
        <v>105</v>
      </c>
      <c r="J37" s="52">
        <f t="shared" si="12"/>
        <v>6228</v>
      </c>
      <c r="K37" s="52">
        <f t="shared" si="12"/>
        <v>1214</v>
      </c>
      <c r="L37" s="52">
        <f t="shared" si="12"/>
        <v>7442</v>
      </c>
      <c r="M37" s="67">
        <f t="shared" si="11"/>
        <v>-69.5</v>
      </c>
      <c r="N37" s="52">
        <f>N38+N39</f>
        <v>23755</v>
      </c>
      <c r="O37" s="52">
        <f>O38+O39</f>
        <v>651</v>
      </c>
      <c r="P37" s="52">
        <f>P38+P39</f>
        <v>24406</v>
      </c>
      <c r="Q37" s="29"/>
      <c r="R37" s="38" t="s">
        <v>149</v>
      </c>
      <c r="S37" s="41"/>
    </row>
    <row r="38" spans="1:19" ht="30" customHeight="1" x14ac:dyDescent="0.5">
      <c r="A38" s="22"/>
      <c r="B38" s="8"/>
      <c r="C38" s="7" t="s">
        <v>150</v>
      </c>
      <c r="D38" s="53">
        <f>INDEX(Sweet!R39:'Sweet'!R50,MATCH(9.99999999999999E+307,Sweet!R39:'Sweet'!R50)-1)-INDEX(DeurvoerSweet!K21:'DeurvoerSweet'!K32,MATCH(9.99999999999999E+307,DeurvoerSweet!K21:'DeurvoerSweet'!K32)-1)</f>
        <v>9</v>
      </c>
      <c r="E38" s="53">
        <f>INDEX(Bitter!R39:'Bitter'!R50,MATCH(9.99999999999999E+307,Bitter!R39:'Bitter'!R50)-1)-INDEX(DeurvoerBitter!K21:'DeurvoerBitter'!K32,MATCH(9.99999999999999E+307,DeurvoerBitter!K21:'DeurvoerBitter'!K32)-1)</f>
        <v>0</v>
      </c>
      <c r="F38" s="53">
        <f>D38+E38</f>
        <v>9</v>
      </c>
      <c r="G38" s="53">
        <f>INDEX(Sweet!R39:'Sweet'!R50,MATCH(9.99999999999999E+307,Sweet!R39:'Sweet'!R50))-INDEX(DeurvoerSweet!K21:'DeurvoerSweet'!K32,MATCH(9.99999999999999E+307,DeurvoerSweet!K21:'DeurvoerSweet'!K32))</f>
        <v>105</v>
      </c>
      <c r="H38" s="53">
        <f>INDEX(Bitter!R39:'Bitter'!R50,MATCH(9.99999999999999E+307,Bitter!R39:'Bitter'!R50))-INDEX(DeurvoerBitter!K21:'DeurvoerBitter'!K32,MATCH(9.99999999999999E+307,DeurvoerBitter!K21:'DeurvoerBitter'!K32))</f>
        <v>0</v>
      </c>
      <c r="I38" s="53">
        <f>G38+H38</f>
        <v>105</v>
      </c>
      <c r="J38" s="53">
        <f>Langstaat!AN38</f>
        <v>6228</v>
      </c>
      <c r="K38" s="53">
        <f>Langstaat!AO38</f>
        <v>1214</v>
      </c>
      <c r="L38" s="53">
        <f>J38+K38</f>
        <v>7442</v>
      </c>
      <c r="M38" s="69">
        <f t="shared" si="11"/>
        <v>-69.5</v>
      </c>
      <c r="N38" s="53">
        <f>Sweet!R67 - DeurvoerSweet!C65</f>
        <v>23755</v>
      </c>
      <c r="O38" s="53">
        <f>Bitter!R67 - DeurvoerBitter!C65</f>
        <v>651</v>
      </c>
      <c r="P38" s="53">
        <f>N38+O38</f>
        <v>24406</v>
      </c>
      <c r="Q38" s="36" t="s">
        <v>151</v>
      </c>
      <c r="R38" s="38"/>
      <c r="S38" s="41"/>
    </row>
    <row r="39" spans="1:19" ht="30" customHeight="1" x14ac:dyDescent="0.5">
      <c r="A39" s="22"/>
      <c r="B39" s="9"/>
      <c r="C39" s="9" t="s">
        <v>152</v>
      </c>
      <c r="D39" s="54">
        <f>INDEX(Sweet!S39:'Sweet'!S50,MATCH(9.99999999999999E+307,Sweet!S39:'Sweet'!S50)-1)-INDEX(DeurvoerSweet!J21:'DeurvoerSweet'!J32,MATCH(9.99999999999999E+307,DeurvoerSweet!J21:'DeurvoerSweet'!J32)-1)</f>
        <v>0</v>
      </c>
      <c r="E39" s="54">
        <f>INDEX(Bitter!S39:'Bitter'!S50,MATCH(9.99999999999999E+307,Bitter!S39:'Bitter'!S50)-1)-INDEX(DeurvoerBitter!J21:'DeurvoerBitter'!J32,MATCH(9.99999999999999E+307,DeurvoerBitter!J21:'DeurvoerBitter'!J32)-1)</f>
        <v>0</v>
      </c>
      <c r="F39" s="54">
        <f>D39+E39</f>
        <v>0</v>
      </c>
      <c r="G39" s="54">
        <f>INDEX(Sweet!S39:'Sweet'!S50,MATCH(9.99999999999999E+307,Sweet!S39:'Sweet'!S50))-INDEX(DeurvoerSweet!J21:'DeurvoerSweet'!J32,MATCH(9.99999999999999E+307,DeurvoerSweet!J21:'DeurvoerSweet'!J32))</f>
        <v>0</v>
      </c>
      <c r="H39" s="54">
        <f>INDEX(Bitter!S39:'Bitter'!S50,MATCH(9.99999999999999E+307,Bitter!S39:'Bitter'!S50))-INDEX(DeurvoerBitter!J21:'DeurvoerBitter'!J32,MATCH(9.99999999999999E+307,DeurvoerBitter!J21:'DeurvoerBitter'!J32))</f>
        <v>0</v>
      </c>
      <c r="I39" s="54">
        <f>G39+H39</f>
        <v>0</v>
      </c>
      <c r="J39" s="54">
        <f>Langstaat!AN39</f>
        <v>0</v>
      </c>
      <c r="K39" s="54">
        <f>Langstaat!AO39</f>
        <v>0</v>
      </c>
      <c r="L39" s="54">
        <f>J39+K39</f>
        <v>0</v>
      </c>
      <c r="M39" s="70">
        <f t="shared" si="11"/>
        <v>0</v>
      </c>
      <c r="N39" s="54">
        <f>Sweet!S67 - DeurvoerSweet!B65</f>
        <v>0</v>
      </c>
      <c r="O39" s="54">
        <f>Bitter!S67 - DeurvoerBitter!B65</f>
        <v>0</v>
      </c>
      <c r="P39" s="54">
        <f>N39+O39</f>
        <v>0</v>
      </c>
      <c r="Q39" s="37" t="s">
        <v>153</v>
      </c>
      <c r="R39" s="37"/>
      <c r="S39" s="41"/>
    </row>
    <row r="40" spans="1:19" ht="9.75" customHeight="1" x14ac:dyDescent="0.5">
      <c r="A40" s="22"/>
      <c r="D40" s="2"/>
      <c r="E40" s="2"/>
      <c r="F40" s="2"/>
      <c r="G40" s="2"/>
      <c r="H40" s="2"/>
      <c r="I40" s="2"/>
      <c r="J40" s="2"/>
      <c r="K40" s="2"/>
      <c r="L40" s="2"/>
      <c r="M40" s="68"/>
      <c r="N40" s="2"/>
      <c r="O40" s="2"/>
      <c r="P40" s="2"/>
      <c r="Q40" s="29"/>
      <c r="R40" s="29"/>
      <c r="S40" s="41"/>
    </row>
    <row r="41" spans="1:19" ht="30" customHeight="1" x14ac:dyDescent="0.5">
      <c r="A41" s="22" t="s">
        <v>154</v>
      </c>
      <c r="D41" s="52">
        <f t="shared" ref="D41:L41" si="13">D42+D43</f>
        <v>2333</v>
      </c>
      <c r="E41" s="52">
        <f t="shared" si="13"/>
        <v>-332</v>
      </c>
      <c r="F41" s="52">
        <f t="shared" si="13"/>
        <v>2001</v>
      </c>
      <c r="G41" s="52">
        <f t="shared" si="13"/>
        <v>255</v>
      </c>
      <c r="H41" s="52">
        <f t="shared" si="13"/>
        <v>-9</v>
      </c>
      <c r="I41" s="52">
        <f t="shared" si="13"/>
        <v>246</v>
      </c>
      <c r="J41" s="52">
        <f t="shared" si="13"/>
        <v>6703</v>
      </c>
      <c r="K41" s="52">
        <f t="shared" si="13"/>
        <v>-81</v>
      </c>
      <c r="L41" s="52">
        <f t="shared" si="13"/>
        <v>6622</v>
      </c>
      <c r="M41" s="67"/>
      <c r="N41" s="52">
        <f>N42+N43</f>
        <v>1163</v>
      </c>
      <c r="O41" s="52">
        <f>O42+O43</f>
        <v>-1986</v>
      </c>
      <c r="P41" s="52">
        <f>P42+P43</f>
        <v>-823</v>
      </c>
      <c r="Q41" s="29"/>
      <c r="R41" s="29"/>
      <c r="S41" s="41" t="s">
        <v>155</v>
      </c>
    </row>
    <row r="42" spans="1:19" ht="30" customHeight="1" x14ac:dyDescent="0.5">
      <c r="A42" s="22"/>
      <c r="B42" s="7" t="s">
        <v>215</v>
      </c>
      <c r="C42" s="10"/>
      <c r="D42" s="53">
        <f>INDEX(Sweet!W39:'Sweet'!W50,MATCH(9.99999999999999E+307,Sweet!W39:'Sweet'!W50)-1)+INDEX(Sweet!X39:'Sweet'!X50,MATCH(9.99999999999999E+307,Sweet!X39:'Sweet'!X50)-1)-INDEX(Sweet!F39:'Sweet'!F50,MATCH(9.99999999999999E+307,Sweet!F39:'Sweet'!F50)-1)-INDEX(Sweet!G39:'Sweet'!G50,MATCH(9.99999999999999E+307,Sweet!G39:'Sweet'!G50)-1)-INDEX(Sweet!AF39:'Sweet'!AF50,MATCH(9.99999999999999E+307,Sweet!AF39:'Sweet'!AF50)-1)-INDEX(Sweet!AG39:'Sweet'!AG50,MATCH(9.99999999999999E+307,Sweet!AG39:'Sweet'!AG50)-1)</f>
        <v>234</v>
      </c>
      <c r="E42" s="53">
        <f>INDEX(Bitter!W39:'Bitter'!W50,MATCH(9.99999999999999E+307,Bitter!W39:'Bitter'!W50)-1)+INDEX(Bitter!X39:'Bitter'!X50,MATCH(9.99999999999999E+307,Bitter!X39:'Bitter'!X50)-1)-INDEX(Bitter!F39:'Bitter'!F50,MATCH(9.99999999999999E+307,Bitter!F39:'Bitter'!F50)-1)-INDEX(Bitter!G39:'Bitter'!G50,MATCH(9.99999999999999E+307,Bitter!G39:'Bitter'!G50)-1)-INDEX(Bitter!AF39:'Bitter'!AF50,MATCH(9.99999999999999E+307,Bitter!AF39:'Bitter'!AF50)-1)-INDEX(Bitter!AG39:'Bitter'!AG50,MATCH(9.99999999999999E+307,Bitter!AG39:'Bitter'!AG50)-1)</f>
        <v>-215</v>
      </c>
      <c r="F42" s="53">
        <f>D42+E42</f>
        <v>19</v>
      </c>
      <c r="G42" s="53">
        <f>INDEX(Sweet!W39:'Sweet'!W50,MATCH(9.99999999999999E+307,Sweet!W39:'Sweet'!W50))+INDEX(Sweet!X39:'Sweet'!X50,MATCH(9.99999999999999E+307,Sweet!X39:'Sweet'!X50))-INDEX(Sweet!F39:'Sweet'!F50,MATCH(9.99999999999999E+307,Sweet!F39:'Sweet'!F50))-INDEX(Sweet!G39:'Sweet'!G50,MATCH(9.99999999999999E+307,Sweet!G39:'Sweet'!G50))-INDEX(Sweet!AF39:'Sweet'!AF50,MATCH(9.99999999999999E+307,Sweet!AF39:'Sweet'!AF50))-INDEX(Sweet!AG39:'Sweet'!AG50,MATCH(9.99999999999999E+307,Sweet!AG39:'Sweet'!AG50))</f>
        <v>-125</v>
      </c>
      <c r="H42" s="53">
        <f>INDEX(Bitter!W39:'Bitter'!W50,MATCH(9.99999999999999E+307,Bitter!W39:'Bitter'!W50))+INDEX(Bitter!X39:'Bitter'!X50,MATCH(9.99999999999999E+307,Bitter!X39:'Bitter'!X50))-INDEX(Bitter!F39:'Bitter'!F50,MATCH(9.99999999999999E+307,Bitter!F39:'Bitter'!F50))-INDEX(Bitter!G39:'Bitter'!G50,MATCH(9.99999999999999E+307,Bitter!G39:'Bitter'!G50))-INDEX(Bitter!AF39:'Bitter'!AF50,MATCH(9.99999999999999E+307,Bitter!AF39:'Bitter'!AF50))-INDEX(Bitter!AG39:'Bitter'!AG50,MATCH(9.99999999999999E+307,Bitter!AG39:'Bitter'!AG50))</f>
        <v>55</v>
      </c>
      <c r="I42" s="53">
        <f>G42+H42</f>
        <v>-70</v>
      </c>
      <c r="J42" s="53">
        <f>Langstaat!AN42</f>
        <v>1291</v>
      </c>
      <c r="K42" s="53">
        <f>Langstaat!AO42</f>
        <v>-190</v>
      </c>
      <c r="L42" s="53">
        <f>J42+K42</f>
        <v>1101</v>
      </c>
      <c r="M42" s="69"/>
      <c r="N42" s="53">
        <f>Sweet!W67+Sweet!X67-Sweet!F67-Sweet!G67</f>
        <v>664</v>
      </c>
      <c r="O42" s="53">
        <f>Bitter!W67+Bitter!X67-Bitter!F67-Bitter!G67</f>
        <v>-133</v>
      </c>
      <c r="P42" s="53">
        <f>N42+O42</f>
        <v>531</v>
      </c>
      <c r="Q42" s="39"/>
      <c r="R42" s="36" t="s">
        <v>216</v>
      </c>
      <c r="S42" s="41"/>
    </row>
    <row r="43" spans="1:19" ht="30" customHeight="1" x14ac:dyDescent="0.5">
      <c r="A43" s="22"/>
      <c r="B43" s="9" t="s">
        <v>158</v>
      </c>
      <c r="C43" s="11"/>
      <c r="D43" s="54">
        <f>INDEX(Sweet!AA39:'Sweet'!AA50,MATCH(9.99999999999999E+307,Sweet!AA39:'Sweet'!AA50)-1)-INDEX(Sweet!H39:'Sweet'!H50,MATCH(9.99999999999999E+307,Sweet!H39:'Sweet'!H50)-1)-INDEX(DeurvoerSweet!N5:'DeurvoerSweet'!N16,MATCH(9.99999999999999E+307,DeurvoerSweet!N5:'DeurvoerSweet'!N16)-1)+INDEX(DeurvoerSweet!M5:'DeurvoerSweet'!M16,MATCH(9.99999999999999E+307,DeurvoerSweet!M5:'DeurvoerSweet'!M16)-1)</f>
        <v>2099</v>
      </c>
      <c r="E43" s="54">
        <f>INDEX(Bitter!AA39:'Bitter'!AA50,MATCH(9.99999999999999E+307,Bitter!AA39:'Bitter'!AA50)-1)-INDEX(Bitter!H39:'Bitter'!H50,MATCH(9.99999999999999E+307,Bitter!H39:'Bitter'!H50)-1)-INDEX(DeurvoerBitter!N5:'DeurvoerBitter'!N16,MATCH(9.99999999999999E+307,DeurvoerBitter!N5:'DeurvoerBitter'!N16)-1)+INDEX(DeurvoerBitter!M5:'DeurvoerBitter'!M16,MATCH(9.99999999999999E+307,DeurvoerBitter!M5:'DeurvoerBitter'!M16)-1)</f>
        <v>-117</v>
      </c>
      <c r="F43" s="54">
        <f>D43+E43</f>
        <v>1982</v>
      </c>
      <c r="G43" s="54">
        <f>INDEX(Sweet!AA39:'Sweet'!AA50,MATCH(9.99999999999999E+307,Sweet!AA39:'Sweet'!AA50))-INDEX(Sweet!H39:'Sweet'!H50,MATCH(9.99999999999999E+307,Sweet!H39:'Sweet'!H50))-INDEX(DeurvoerSweet!N5:'DeurvoerSweet'!N16,MATCH(9.99999999999999E+307,DeurvoerSweet!N5:'DeurvoerSweet'!N16))+INDEX(DeurvoerSweet!M5:'DeurvoerSweet'!M16,MATCH(9.99999999999999E+307,DeurvoerSweet!M5:'DeurvoerSweet'!M16))</f>
        <v>380</v>
      </c>
      <c r="H43" s="54">
        <f>INDEX(Bitter!AA39:'Bitter'!AA50,MATCH(9.99999999999999E+307,Bitter!AA39:'Bitter'!AA50))-INDEX(Bitter!H39:'Bitter'!H50,MATCH(9.99999999999999E+307,Bitter!H39:'Bitter'!H50))</f>
        <v>-64</v>
      </c>
      <c r="I43" s="54">
        <f>G43+H43</f>
        <v>316</v>
      </c>
      <c r="J43" s="54">
        <f>Langstaat!AN43</f>
        <v>5412</v>
      </c>
      <c r="K43" s="54">
        <f>Langstaat!AO43</f>
        <v>109</v>
      </c>
      <c r="L43" s="54">
        <f>J43+K43</f>
        <v>5521</v>
      </c>
      <c r="M43" s="70"/>
      <c r="N43" s="54">
        <f>Sweet!AA67-Sweet!H67-DeurvoerSweet!N49+DeurvoerSweet!M49</f>
        <v>499</v>
      </c>
      <c r="O43" s="54">
        <f>Bitter!AA67-Bitter!H67-DeurvoerBitter!N49+DeurvoerBitter!M49</f>
        <v>-1853</v>
      </c>
      <c r="P43" s="54">
        <f>N43+O43</f>
        <v>-1354</v>
      </c>
      <c r="Q43" s="40"/>
      <c r="R43" s="37" t="s">
        <v>159</v>
      </c>
      <c r="S43" s="41"/>
    </row>
    <row r="44" spans="1:19" ht="9.75" customHeight="1" x14ac:dyDescent="0.5">
      <c r="A44" s="22"/>
      <c r="D44" s="2"/>
      <c r="E44" s="2"/>
      <c r="F44" s="2"/>
      <c r="G44" s="2"/>
      <c r="H44" s="2"/>
      <c r="I44" s="2"/>
      <c r="J44" s="2"/>
      <c r="K44" s="2"/>
      <c r="L44" s="2"/>
      <c r="M44" s="68"/>
      <c r="N44" s="2"/>
      <c r="O44" s="2"/>
      <c r="P44" s="2"/>
      <c r="Q44" s="29"/>
      <c r="R44" s="29"/>
      <c r="S44" s="41"/>
    </row>
    <row r="45" spans="1:19" ht="30" customHeight="1" x14ac:dyDescent="0.5">
      <c r="A45" s="22"/>
      <c r="D45" s="150"/>
      <c r="E45" s="148"/>
      <c r="F45" s="149"/>
      <c r="G45" s="150"/>
      <c r="H45" s="148"/>
      <c r="I45" s="149"/>
      <c r="J45" s="150" t="str">
        <f>Langstaat!AN45</f>
        <v>28 Feb 2017</v>
      </c>
      <c r="K45" s="148"/>
      <c r="L45" s="149"/>
      <c r="M45" s="67"/>
      <c r="N45" s="150"/>
      <c r="O45" s="148"/>
      <c r="P45" s="149"/>
      <c r="Q45" s="29"/>
      <c r="R45" s="29"/>
      <c r="S45" s="41"/>
    </row>
    <row r="46" spans="1:19" ht="30" customHeight="1" x14ac:dyDescent="0.5">
      <c r="A46" s="23" t="s">
        <v>172</v>
      </c>
      <c r="B46" s="11"/>
      <c r="C46" s="11"/>
      <c r="D46" s="52">
        <f t="shared" ref="D46:L46" si="14">D11+D13-D17-D33-D41</f>
        <v>43736</v>
      </c>
      <c r="E46" s="52">
        <f t="shared" si="14"/>
        <v>4107</v>
      </c>
      <c r="F46" s="52">
        <f t="shared" si="14"/>
        <v>47843</v>
      </c>
      <c r="G46" s="52">
        <f t="shared" si="14"/>
        <v>31836</v>
      </c>
      <c r="H46" s="52">
        <f t="shared" si="14"/>
        <v>3402</v>
      </c>
      <c r="I46" s="52">
        <f t="shared" si="14"/>
        <v>35238</v>
      </c>
      <c r="J46" s="52">
        <f t="shared" si="14"/>
        <v>31836</v>
      </c>
      <c r="K46" s="52">
        <f t="shared" si="14"/>
        <v>3402</v>
      </c>
      <c r="L46" s="52">
        <f t="shared" si="14"/>
        <v>35238</v>
      </c>
      <c r="M46" s="65">
        <f>ROUND(IFERROR((L46-P46)/P46*100,IF(L46-P46=0,0,100)),1)</f>
        <v>-57.6</v>
      </c>
      <c r="N46" s="52">
        <f>N11+N13-N17-N33-N41</f>
        <v>57445</v>
      </c>
      <c r="O46" s="52">
        <f>O11+O13-O17-O33-O41</f>
        <v>25697</v>
      </c>
      <c r="P46" s="52">
        <f>P11+P13-P17-P33-P41</f>
        <v>83142</v>
      </c>
      <c r="Q46" s="40"/>
      <c r="R46" s="40"/>
      <c r="S46" s="43" t="s">
        <v>173</v>
      </c>
    </row>
    <row r="47" spans="1:19" ht="30" customHeight="1" x14ac:dyDescent="0.5">
      <c r="A47" s="22"/>
      <c r="D47" s="2"/>
      <c r="E47" s="2"/>
      <c r="F47" s="2"/>
      <c r="G47" s="2"/>
      <c r="H47" s="2"/>
      <c r="I47" s="2"/>
      <c r="J47" s="2"/>
      <c r="K47" s="2"/>
      <c r="L47" s="2"/>
      <c r="M47" s="48"/>
      <c r="N47" s="2"/>
      <c r="O47" s="2"/>
      <c r="P47" s="2"/>
      <c r="Q47" s="29"/>
      <c r="R47" s="29"/>
      <c r="S47" s="41"/>
    </row>
    <row r="48" spans="1:19" ht="30" customHeight="1" x14ac:dyDescent="0.5">
      <c r="A48" s="22" t="s">
        <v>217</v>
      </c>
      <c r="D48" s="52">
        <f t="shared" ref="D48:L48" si="15">D49+D50</f>
        <v>43736</v>
      </c>
      <c r="E48" s="52">
        <f t="shared" si="15"/>
        <v>4107</v>
      </c>
      <c r="F48" s="52">
        <f t="shared" si="15"/>
        <v>47843</v>
      </c>
      <c r="G48" s="52">
        <f t="shared" si="15"/>
        <v>31836</v>
      </c>
      <c r="H48" s="52">
        <f t="shared" si="15"/>
        <v>3402</v>
      </c>
      <c r="I48" s="52">
        <f t="shared" si="15"/>
        <v>35238</v>
      </c>
      <c r="J48" s="52">
        <f t="shared" si="15"/>
        <v>31836</v>
      </c>
      <c r="K48" s="52">
        <f t="shared" si="15"/>
        <v>3402</v>
      </c>
      <c r="L48" s="52">
        <f t="shared" si="15"/>
        <v>35238</v>
      </c>
      <c r="M48" s="65">
        <f>ROUND(IFERROR((L48-P48)/P48*100,IF(L48-P48=0,0,100)),1)</f>
        <v>-57.6</v>
      </c>
      <c r="N48" s="52">
        <f>N49+N50</f>
        <v>57445</v>
      </c>
      <c r="O48" s="52">
        <f>O49+O50</f>
        <v>25697</v>
      </c>
      <c r="P48" s="52">
        <f>P49+P50</f>
        <v>83142</v>
      </c>
      <c r="Q48" s="29"/>
      <c r="R48" s="29"/>
      <c r="S48" s="41" t="s">
        <v>218</v>
      </c>
    </row>
    <row r="49" spans="1:19" ht="30" customHeight="1" x14ac:dyDescent="0.5">
      <c r="A49" s="22"/>
      <c r="B49" s="7" t="s">
        <v>219</v>
      </c>
      <c r="C49" s="10"/>
      <c r="D49" s="53">
        <f>INDEX(Sweet!AB39:'Sweet'!AB50,MATCH(9.99999999999999E+307,Sweet!AB39:'Sweet'!AB50)-1)-INDEX(DeurvoerSweet!O5:'DeurvoerSweet'!O16,MATCH(9.99999999999999E+307,DeurvoerSweet!O5:'DeurvoerSweet'!O16)-1)</f>
        <v>17267</v>
      </c>
      <c r="E49" s="53">
        <f>INDEX(Bitter!AB39:'Bitter'!AB50,MATCH(9.99999999999999E+307,Bitter!AB39:'Bitter'!AB50)-1)-INDEX(DeurvoerBitter!O5:'DeurvoerBitter'!O16,MATCH(9.99999999999999E+307,DeurvoerBitter!O5:'DeurvoerBitter'!O16)-1)</f>
        <v>2772</v>
      </c>
      <c r="F49" s="53">
        <f>D49+E49</f>
        <v>20039</v>
      </c>
      <c r="G49" s="53">
        <f>INDEX(Sweet!AB39:'Sweet'!AB50,MATCH(9.99999999999999E+307,Sweet!AB39:'Sweet'!AB50))-INDEX(DeurvoerSweet!O5:'DeurvoerSweet'!O16,MATCH(9.99999999999999E+307,DeurvoerSweet!O5:'DeurvoerSweet'!O16))</f>
        <v>12485</v>
      </c>
      <c r="H49" s="53">
        <f>INDEX(Bitter!AB39:'Bitter'!AB50,MATCH(9.99999999999999E+307,Bitter!AB39:'Bitter'!AB50))-INDEX(DeurvoerBitter!O5:'DeurvoerBitter'!O16,MATCH(9.99999999999999E+307,DeurvoerBitter!O5:'DeurvoerBitter'!O16))</f>
        <v>2326</v>
      </c>
      <c r="I49" s="53">
        <f>G49+H49</f>
        <v>14811</v>
      </c>
      <c r="J49" s="53">
        <f>Langstaat!AN49</f>
        <v>12485</v>
      </c>
      <c r="K49" s="53">
        <f>Langstaat!AO49</f>
        <v>2326</v>
      </c>
      <c r="L49" s="53">
        <f>J49+K49</f>
        <v>14811</v>
      </c>
      <c r="M49" s="45">
        <f>ROUND(IFERROR((L49-P49)/P49*100,IF(L49-P49=0,0,100)),1)</f>
        <v>-65.2</v>
      </c>
      <c r="N49" s="53">
        <f>N46-N50</f>
        <v>22990</v>
      </c>
      <c r="O49" s="53">
        <f>O46-O50</f>
        <v>19592</v>
      </c>
      <c r="P49" s="53">
        <f>N49+O49</f>
        <v>42582</v>
      </c>
      <c r="Q49" s="39"/>
      <c r="R49" s="36" t="s">
        <v>177</v>
      </c>
      <c r="S49" s="41"/>
    </row>
    <row r="50" spans="1:19" ht="30" customHeight="1" x14ac:dyDescent="0.5">
      <c r="A50" s="22"/>
      <c r="B50" s="9" t="s">
        <v>178</v>
      </c>
      <c r="C50" s="11"/>
      <c r="D50" s="54">
        <f>INDEX(Sweet!AC39:'Sweet'!AC50,MATCH(9.99999999999999E+307,Sweet!AC39:'Sweet'!AC50)-1)</f>
        <v>26469</v>
      </c>
      <c r="E50" s="54">
        <f>INDEX(Bitter!AC39:'Bitter'!AC50,MATCH(9.99999999999999E+307,Bitter!AC39:'Bitter'!AC50)-1)</f>
        <v>1335</v>
      </c>
      <c r="F50" s="54">
        <f>D50+E50</f>
        <v>27804</v>
      </c>
      <c r="G50" s="54">
        <f>INDEX(Sweet!AC39:'Sweet'!AC50,MATCH(9.99999999999999E+307,Sweet!AC39:'Sweet'!AC50))</f>
        <v>19351</v>
      </c>
      <c r="H50" s="54">
        <f>INDEX(Bitter!AC39:'Bitter'!AC50,MATCH(9.99999999999999E+307,Bitter!AC39:'Bitter'!AC50))</f>
        <v>1076</v>
      </c>
      <c r="I50" s="54">
        <f>G50+H50</f>
        <v>20427</v>
      </c>
      <c r="J50" s="54">
        <f>Langstaat!AN50</f>
        <v>19351</v>
      </c>
      <c r="K50" s="54">
        <f>Langstaat!AO50</f>
        <v>1076</v>
      </c>
      <c r="L50" s="54">
        <f>J50+K50</f>
        <v>20427</v>
      </c>
      <c r="M50" s="46">
        <f>ROUND(IFERROR((L50-P50)/P50*100,IF(L43-P50=0,0,100)),1)</f>
        <v>-49.6</v>
      </c>
      <c r="N50" s="54">
        <f>INDEX(Sweet!AF55:'Sweet'!AF66,MATCH(9.99999999999999E+307,Sweet!AF55:'Sweet'!AF66))</f>
        <v>34455</v>
      </c>
      <c r="O50" s="54">
        <f>INDEX(Bitter!AF55:'Bitter'!AF66,MATCH(9.99999999999999E+307,Bitter!AF55:'Bitter'!AF66))</f>
        <v>6105</v>
      </c>
      <c r="P50" s="54">
        <f>N50+O50</f>
        <v>40560</v>
      </c>
      <c r="Q50" s="40"/>
      <c r="R50" s="37" t="s">
        <v>179</v>
      </c>
      <c r="S50" s="41"/>
    </row>
    <row r="51" spans="1:19" ht="9.75" customHeight="1" x14ac:dyDescent="0.5">
      <c r="A51" s="22"/>
      <c r="D51" s="2"/>
      <c r="E51" s="2"/>
      <c r="F51" s="2"/>
      <c r="G51" s="2"/>
      <c r="H51" s="2"/>
      <c r="I51" s="2"/>
      <c r="J51" s="2"/>
      <c r="K51" s="2"/>
      <c r="L51" s="2"/>
      <c r="N51" s="2"/>
      <c r="O51" s="2"/>
      <c r="P51" s="2"/>
      <c r="Q51" s="29"/>
      <c r="R51" s="29"/>
      <c r="S51" s="41"/>
    </row>
    <row r="52" spans="1:19" ht="30" customHeight="1" x14ac:dyDescent="0.5">
      <c r="A52" s="24" t="s">
        <v>220</v>
      </c>
      <c r="B52" s="10"/>
      <c r="C52" s="10"/>
      <c r="D52" s="56"/>
      <c r="E52" s="53"/>
      <c r="F52" s="60"/>
      <c r="G52" s="56"/>
      <c r="H52" s="53"/>
      <c r="I52" s="60"/>
      <c r="J52" s="56"/>
      <c r="K52" s="53"/>
      <c r="L52" s="60"/>
      <c r="M52" s="15"/>
      <c r="N52" s="56"/>
      <c r="O52" s="53"/>
      <c r="P52" s="60"/>
      <c r="Q52" s="39"/>
      <c r="R52" s="39"/>
      <c r="S52" s="42" t="s">
        <v>221</v>
      </c>
    </row>
    <row r="53" spans="1:19" ht="30" customHeight="1" x14ac:dyDescent="0.5">
      <c r="A53" s="22" t="s">
        <v>222</v>
      </c>
      <c r="D53" s="57"/>
      <c r="E53" s="55"/>
      <c r="F53" s="61"/>
      <c r="G53" s="57"/>
      <c r="H53" s="55"/>
      <c r="I53" s="61"/>
      <c r="J53" s="57"/>
      <c r="K53" s="55"/>
      <c r="L53" s="61"/>
      <c r="M53" s="21"/>
      <c r="N53" s="57"/>
      <c r="O53" s="55"/>
      <c r="P53" s="61"/>
      <c r="Q53" s="29"/>
      <c r="R53" s="29"/>
      <c r="S53" s="41" t="s">
        <v>223</v>
      </c>
    </row>
    <row r="54" spans="1:19" ht="30" customHeight="1" x14ac:dyDescent="0.5">
      <c r="A54" s="8"/>
      <c r="B54" t="s">
        <v>182</v>
      </c>
      <c r="D54" s="57">
        <f>INDEX(DeurvoerSweet!J5:'DeurvoerSweet'!J16,MATCH(9.99999999999999E+307,DeurvoerSweet!J5:'DeurvoerSweet'!J16)-1)</f>
        <v>5682</v>
      </c>
      <c r="E54" s="55">
        <f>INDEX(DeurvoerBitter!J5:'DeurvoerBitter'!J16,MATCH(9.99999999999999E+307,DeurvoerBitter!J5:'DeurvoerBitter'!J16)-1)</f>
        <v>0</v>
      </c>
      <c r="F54" s="61">
        <f>D54+E54</f>
        <v>5682</v>
      </c>
      <c r="G54" s="57">
        <f>INDEX(DeurvoerSweet!J5:'DeurvoerSweet'!J16,MATCH(9.99999999999999E+307,DeurvoerSweet!J5:'DeurvoerSweet'!J16))</f>
        <v>2907</v>
      </c>
      <c r="H54" s="55">
        <f>INDEX(DeurvoerBitter!J5:'DeurvoerBitter'!J16,MATCH(9.99999999999999E+307,DeurvoerBitter!J5:'DeurvoerBitter'!J16))</f>
        <v>0</v>
      </c>
      <c r="I54" s="61">
        <f>G54+H54</f>
        <v>2907</v>
      </c>
      <c r="J54" s="57">
        <f>Langstaat!AN53</f>
        <v>15750</v>
      </c>
      <c r="K54" s="55">
        <f>Langstaat!AO53</f>
        <v>0</v>
      </c>
      <c r="L54" s="61">
        <f>J54+K54</f>
        <v>15750</v>
      </c>
      <c r="M54" s="21"/>
      <c r="N54" s="57">
        <f>DeurvoerSweet!J37</f>
        <v>0</v>
      </c>
      <c r="O54" s="55">
        <f>DeurvoerBitter!J37</f>
        <v>0</v>
      </c>
      <c r="P54" s="61">
        <f>N54+O54</f>
        <v>0</v>
      </c>
      <c r="Q54" s="29"/>
      <c r="R54" s="29" t="s">
        <v>183</v>
      </c>
      <c r="S54" s="38"/>
    </row>
    <row r="55" spans="1:19" ht="30" customHeight="1" x14ac:dyDescent="0.5">
      <c r="A55" s="8"/>
      <c r="B55" t="s">
        <v>184</v>
      </c>
      <c r="D55" s="57">
        <f>INDEX(DeurvoerSweet!K5:'DeurvoerSweet'!K16,MATCH(9.99999999999999E+307,DeurvoerSweet!K5:'DeurvoerSweet'!K16)-1)</f>
        <v>0</v>
      </c>
      <c r="E55" s="55">
        <f>INDEX(DeurvoerBitter!K5:'DeurvoerBitter'!K16,MATCH(9.99999999999999E+307,DeurvoerBitter!K5:'DeurvoerBitter'!K16)-1)</f>
        <v>0</v>
      </c>
      <c r="F55" s="61">
        <f>D55+E55</f>
        <v>0</v>
      </c>
      <c r="G55" s="57">
        <f>INDEX(DeurvoerSweet!K5:'DeurvoerSweet'!K16,MATCH(9.99999999999999E+307,DeurvoerSweet!K5:'DeurvoerSweet'!K16))</f>
        <v>0</v>
      </c>
      <c r="H55" s="55">
        <f>INDEX(DeurvoerBitter!K5:'DeurvoerBitter'!K16,MATCH(9.99999999999999E+307,DeurvoerBitter!K5:'DeurvoerBitter'!K16))</f>
        <v>0</v>
      </c>
      <c r="I55" s="61">
        <f>G55+H55</f>
        <v>0</v>
      </c>
      <c r="J55" s="57">
        <f>Langstaat!AN54</f>
        <v>67952</v>
      </c>
      <c r="K55" s="55">
        <f>Langstaat!AO54</f>
        <v>0</v>
      </c>
      <c r="L55" s="61">
        <f>J55+K55</f>
        <v>67952</v>
      </c>
      <c r="M55" s="21"/>
      <c r="N55" s="57">
        <f>DeurvoerSweet!K49</f>
        <v>30827</v>
      </c>
      <c r="O55" s="55">
        <f>DeurvoerBitter!K49</f>
        <v>0</v>
      </c>
      <c r="P55" s="61">
        <f>N55+O55</f>
        <v>30827</v>
      </c>
      <c r="Q55" s="29"/>
      <c r="R55" s="29" t="s">
        <v>224</v>
      </c>
      <c r="S55" s="38"/>
    </row>
    <row r="56" spans="1:19" ht="30" customHeight="1" x14ac:dyDescent="0.5">
      <c r="A56" s="8"/>
      <c r="B56" t="s">
        <v>186</v>
      </c>
      <c r="D56" s="57">
        <f>INDEX(DeurvoerSweet!L5:'DeurvoerSweet'!L16,MATCH(9.99999999999999E+307,DeurvoerSweet!L5:'DeurvoerSweet'!L16)-1)</f>
        <v>2775</v>
      </c>
      <c r="E56" s="55">
        <f>INDEX(DeurvoerBitter!L5:'DeurvoerBitter'!L16,MATCH(9.99999999999999E+307,DeurvoerBitter!L5:'DeurvoerBitter'!L16)-1)</f>
        <v>0</v>
      </c>
      <c r="F56" s="61">
        <f>D56+E56</f>
        <v>2775</v>
      </c>
      <c r="G56" s="57">
        <f>INDEX(DeurvoerSweet!L5:'DeurvoerSweet'!L16,MATCH(9.99999999999999E+307,DeurvoerSweet!L5:'DeurvoerSweet'!L16))</f>
        <v>405</v>
      </c>
      <c r="H56" s="55">
        <f>INDEX(DeurvoerBitter!L5:'DeurvoerBitter'!L16,MATCH(9.99999999999999E+307,DeurvoerBitter!L5:'DeurvoerBitter'!L16))</f>
        <v>0</v>
      </c>
      <c r="I56" s="61">
        <f>G56+H56</f>
        <v>405</v>
      </c>
      <c r="J56" s="57">
        <f>Langstaat!AN55</f>
        <v>81227</v>
      </c>
      <c r="K56" s="55">
        <f>Langstaat!AO55</f>
        <v>0</v>
      </c>
      <c r="L56" s="61">
        <f>J56+K56</f>
        <v>81227</v>
      </c>
      <c r="M56" s="21"/>
      <c r="N56" s="57">
        <f>DeurvoerSweet!L49</f>
        <v>15098</v>
      </c>
      <c r="O56" s="55">
        <f>DeurvoerBitter!L49</f>
        <v>0</v>
      </c>
      <c r="P56" s="61">
        <f>N56+O56</f>
        <v>15098</v>
      </c>
      <c r="Q56" s="29"/>
      <c r="R56" s="29" t="s">
        <v>225</v>
      </c>
      <c r="S56" s="38"/>
    </row>
    <row r="57" spans="1:19" ht="30" customHeight="1" x14ac:dyDescent="0.5">
      <c r="A57" s="8"/>
      <c r="B57" t="s">
        <v>188</v>
      </c>
      <c r="D57" s="58">
        <f>INDEX(DeurvoerSweet!N5:'DeurvoerSweet'!N16,MATCH(9.99999999999999E+307,DeurvoerSweet!N5:'DeurvoerSweet'!N16)-1)-INDEX(DeurvoerSweet!M5:'DeurvoerSweet'!M16,MATCH(9.99999999999999E+307,DeurvoerSweet!M5:'DeurvoerSweet'!M16)-1)</f>
        <v>0</v>
      </c>
      <c r="E57" s="54">
        <f>INDEX(DeurvoerBitter!N5:'DeurvoerBitter'!N16,MATCH(9.99999999999999E+307,DeurvoerBitter!N5:'DeurvoerBitter'!N16)-1)-INDEX(DeurvoerBitter!M5:'DeurvoerBitter'!M16,MATCH(9.99999999999999E+307,DeurvoerBitter!M5:'DeurvoerBitter'!M16)-1)</f>
        <v>0</v>
      </c>
      <c r="F57" s="62">
        <f>D57+E57</f>
        <v>0</v>
      </c>
      <c r="G57" s="58">
        <f>INDEX(DeurvoerSweet!N5:'DeurvoerSweet'!N16,MATCH(9.99999999999999E+307,DeurvoerSweet!N5:'DeurvoerSweet'!N16))-INDEX(DeurvoerSweet!M5:'DeurvoerSweet'!M16,MATCH(9.99999999999999E+307,DeurvoerSweet!M5:'DeurvoerSweet'!M16))</f>
        <v>0</v>
      </c>
      <c r="H57" s="54">
        <f>INDEX(DeurvoerBitter!N5:'DeurvoerBitter'!N16,MATCH(9.99999999999999E+307,DeurvoerBitter!N5:'DeurvoerBitter'!N16))-INDEX(DeurvoerBitter!M5:'DeurvoerBitter'!M16,MATCH(9.99999999999999E+307,DeurvoerBitter!M5:'DeurvoerBitter'!M16))</f>
        <v>0</v>
      </c>
      <c r="I57" s="62">
        <f>G57+H57</f>
        <v>0</v>
      </c>
      <c r="J57" s="58">
        <f>Langstaat!AN56</f>
        <v>-27</v>
      </c>
      <c r="K57" s="54">
        <f>Langstaat!AO56</f>
        <v>0</v>
      </c>
      <c r="L57" s="62">
        <f>J57+K57</f>
        <v>-27</v>
      </c>
      <c r="M57" s="16"/>
      <c r="N57" s="58">
        <f>DeurvoerSweet!N49-DeurvoerSweet!M49</f>
        <v>-21</v>
      </c>
      <c r="O57" s="54">
        <f>DeurvoerBitter!N49-DeurvoerBitter!M49</f>
        <v>0</v>
      </c>
      <c r="P57" s="62">
        <f>N57+O57</f>
        <v>-21</v>
      </c>
      <c r="Q57" s="29"/>
      <c r="R57" s="29" t="s">
        <v>189</v>
      </c>
      <c r="S57" s="38"/>
    </row>
    <row r="58" spans="1:19" ht="30" customHeight="1" x14ac:dyDescent="0.5">
      <c r="A58" s="9"/>
      <c r="B58" s="11" t="s">
        <v>190</v>
      </c>
      <c r="C58" s="11"/>
      <c r="D58" s="59">
        <f>INDEX(DeurvoerSweet!O5:'DeurvoerSweet'!O16,MATCH(9.99999999999999E+307,DeurvoerSweet!O5:'DeurvoerSweet'!O16)-1)</f>
        <v>2907</v>
      </c>
      <c r="E58" s="52">
        <f>INDEX(DeurvoerBitter!O5:'DeurvoerBitter'!O16,MATCH(9.99999999999999E+307,DeurvoerBitter!O5:'DeurvoerBitter'!O16)-1)</f>
        <v>0</v>
      </c>
      <c r="F58" s="63">
        <f>D58+E58</f>
        <v>2907</v>
      </c>
      <c r="G58" s="59">
        <f>INDEX(DeurvoerSweet!O5:'DeurvoerSweet'!O16,MATCH(9.99999999999999E+307,DeurvoerSweet!O5:'DeurvoerSweet'!O16))</f>
        <v>2502</v>
      </c>
      <c r="H58" s="52">
        <f>INDEX(DeurvoerBitter!O5:'DeurvoerBitter'!O16,MATCH(9.99999999999999E+307,DeurvoerBitter!O5:'DeurvoerBitter'!O16))</f>
        <v>0</v>
      </c>
      <c r="I58" s="63">
        <f>G58+H58</f>
        <v>2502</v>
      </c>
      <c r="J58" s="59">
        <f>Langstaat!AN57</f>
        <v>2502</v>
      </c>
      <c r="K58" s="52">
        <f>Langstaat!AO57</f>
        <v>0</v>
      </c>
      <c r="L58" s="63">
        <f>J58+K58</f>
        <v>2502</v>
      </c>
      <c r="M58" s="20"/>
      <c r="N58" s="59">
        <f>INDEX(DeurvoerSweet!O37:'DeurvoerSweet'!O48,MATCH(9.99999999999999E+307,DeurvoerSweet!O37:'DeurvoerSweet'!O48))</f>
        <v>15750</v>
      </c>
      <c r="O58" s="52">
        <f>INDEX(DeurvoerBitter!O37:'DeurvoerBitter'!O48,MATCH(9.99999999999999E+307,DeurvoerBitter!O37:'DeurvoerBitter'!O48))</f>
        <v>0</v>
      </c>
      <c r="P58" s="63">
        <f>N58+O58</f>
        <v>15750</v>
      </c>
      <c r="Q58" s="40"/>
      <c r="R58" s="40" t="s">
        <v>191</v>
      </c>
      <c r="S58" s="37"/>
    </row>
    <row r="59" spans="1:19" ht="30" customHeight="1" x14ac:dyDescent="0.5">
      <c r="A59" s="8"/>
      <c r="S59" s="13"/>
    </row>
    <row r="60" spans="1:19" ht="30" customHeight="1" x14ac:dyDescent="0.5">
      <c r="A60" s="144" t="s">
        <v>226</v>
      </c>
      <c r="B60" s="145"/>
      <c r="C60" s="145"/>
      <c r="D60" s="145"/>
      <c r="E60" s="145"/>
      <c r="F60" s="145"/>
      <c r="G60" s="145"/>
      <c r="H60" s="145"/>
      <c r="I60" s="145"/>
      <c r="J60" s="48" t="s">
        <v>227</v>
      </c>
      <c r="K60" s="140" t="s">
        <v>228</v>
      </c>
      <c r="L60" s="140"/>
      <c r="M60" s="140"/>
      <c r="N60" s="140"/>
      <c r="O60" s="140"/>
      <c r="P60" s="140"/>
      <c r="Q60" s="140"/>
      <c r="R60" s="140"/>
      <c r="S60" s="141"/>
    </row>
    <row r="61" spans="1:19" ht="30" customHeight="1" x14ac:dyDescent="0.5">
      <c r="A61" s="144" t="s">
        <v>229</v>
      </c>
      <c r="B61" s="145"/>
      <c r="C61" s="145"/>
      <c r="D61" s="145"/>
      <c r="E61" s="145"/>
      <c r="F61" s="145"/>
      <c r="G61" s="145"/>
      <c r="H61" s="145"/>
      <c r="I61" s="145"/>
      <c r="J61" s="48" t="s">
        <v>230</v>
      </c>
      <c r="K61" s="140" t="s">
        <v>231</v>
      </c>
      <c r="L61" s="140"/>
      <c r="M61" s="140"/>
      <c r="N61" s="140"/>
      <c r="O61" s="140"/>
      <c r="P61" s="140"/>
      <c r="Q61" s="140"/>
      <c r="R61" s="140"/>
      <c r="S61" s="141"/>
    </row>
    <row r="62" spans="1:19" ht="30" customHeight="1" x14ac:dyDescent="0.5">
      <c r="A62" s="144" t="s">
        <v>232</v>
      </c>
      <c r="B62" s="145"/>
      <c r="C62" s="145"/>
      <c r="D62" s="145"/>
      <c r="E62" s="145"/>
      <c r="F62" s="145"/>
      <c r="G62" s="145"/>
      <c r="H62" s="145"/>
      <c r="I62" s="145"/>
      <c r="J62" s="48"/>
      <c r="K62" s="140" t="s">
        <v>233</v>
      </c>
      <c r="L62" s="140"/>
      <c r="M62" s="140"/>
      <c r="N62" s="140"/>
      <c r="O62" s="140"/>
      <c r="P62" s="140"/>
      <c r="Q62" s="140"/>
      <c r="R62" s="140"/>
      <c r="S62" s="141"/>
    </row>
    <row r="63" spans="1:19" ht="30" customHeight="1" x14ac:dyDescent="0.5">
      <c r="A63" s="144" t="s">
        <v>234</v>
      </c>
      <c r="B63" s="145"/>
      <c r="C63" s="145"/>
      <c r="D63" s="145"/>
      <c r="E63" s="145"/>
      <c r="F63" s="145"/>
      <c r="G63" s="145"/>
      <c r="H63" s="145"/>
      <c r="I63" s="145"/>
      <c r="J63" s="48" t="s">
        <v>235</v>
      </c>
      <c r="K63" s="140" t="s">
        <v>236</v>
      </c>
      <c r="L63" s="140"/>
      <c r="M63" s="140"/>
      <c r="N63" s="140"/>
      <c r="O63" s="140"/>
      <c r="P63" s="140"/>
      <c r="Q63" s="140"/>
      <c r="R63" s="140"/>
      <c r="S63" s="141"/>
    </row>
    <row r="64" spans="1:19" ht="30" customHeight="1" x14ac:dyDescent="0.5">
      <c r="A64" s="144" t="s">
        <v>237</v>
      </c>
      <c r="B64" s="145"/>
      <c r="C64" s="145"/>
      <c r="D64" s="145"/>
      <c r="E64" s="145"/>
      <c r="F64" s="145"/>
      <c r="G64" s="145"/>
      <c r="H64" s="145"/>
      <c r="I64" s="145"/>
      <c r="J64" s="48"/>
      <c r="K64" s="140" t="s">
        <v>238</v>
      </c>
      <c r="L64" s="140"/>
      <c r="M64" s="140"/>
      <c r="N64" s="140"/>
      <c r="O64" s="140"/>
      <c r="P64" s="140"/>
      <c r="Q64" s="140"/>
      <c r="R64" s="140"/>
      <c r="S64" s="141"/>
    </row>
    <row r="65" spans="1:19" ht="30" customHeight="1" x14ac:dyDescent="0.5">
      <c r="A65" s="138"/>
      <c r="B65" s="139"/>
      <c r="C65" s="139"/>
      <c r="D65" s="139"/>
      <c r="E65" s="139"/>
      <c r="F65" s="139"/>
      <c r="G65" s="139"/>
      <c r="H65" s="139"/>
      <c r="I65" s="139"/>
      <c r="J65" s="50"/>
      <c r="K65" s="142"/>
      <c r="L65" s="142"/>
      <c r="M65" s="142"/>
      <c r="N65" s="142"/>
      <c r="O65" s="142"/>
      <c r="P65" s="142"/>
      <c r="Q65" s="142"/>
      <c r="R65" s="142"/>
      <c r="S65" s="143"/>
    </row>
  </sheetData>
  <sheetProtection formatCells="0" formatColumns="0" formatRows="0" insertColumns="0" insertRows="0" insertHyperlinks="0" deleteColumns="0" deleteRows="0" sort="0" autoFilter="0" pivotTables="0"/>
  <mergeCells count="35">
    <mergeCell ref="D1:P1"/>
    <mergeCell ref="D2:P2"/>
    <mergeCell ref="D3:P3"/>
    <mergeCell ref="D4:P4"/>
    <mergeCell ref="N5:P5"/>
    <mergeCell ref="N6:P6"/>
    <mergeCell ref="Q2:S2"/>
    <mergeCell ref="Q5:S5"/>
    <mergeCell ref="G6:I6"/>
    <mergeCell ref="J5:L5"/>
    <mergeCell ref="D6:F6"/>
    <mergeCell ref="G5:I5"/>
    <mergeCell ref="J6:L6"/>
    <mergeCell ref="D10:F10"/>
    <mergeCell ref="G10:I10"/>
    <mergeCell ref="J10:L10"/>
    <mergeCell ref="N10:P10"/>
    <mergeCell ref="J12:L12"/>
    <mergeCell ref="N12:P12"/>
    <mergeCell ref="D45:F45"/>
    <mergeCell ref="G45:I45"/>
    <mergeCell ref="J45:L45"/>
    <mergeCell ref="N45:P45"/>
    <mergeCell ref="A65:I65"/>
    <mergeCell ref="K60:S60"/>
    <mergeCell ref="K61:S61"/>
    <mergeCell ref="K62:S62"/>
    <mergeCell ref="K63:S63"/>
    <mergeCell ref="K64:S64"/>
    <mergeCell ref="K65:S65"/>
    <mergeCell ref="A60:I60"/>
    <mergeCell ref="A61:I61"/>
    <mergeCell ref="A62:I62"/>
    <mergeCell ref="A63:I63"/>
    <mergeCell ref="A64:I64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67"/>
  <sheetViews>
    <sheetView zoomScale="55" workbookViewId="0">
      <selection activeCell="AF67" sqref="AF67"/>
    </sheetView>
  </sheetViews>
  <sheetFormatPr defaultRowHeight="28.2" x14ac:dyDescent="0.5"/>
  <cols>
    <col min="1" max="1" width="62.3515625" bestFit="1" customWidth="1"/>
    <col min="2" max="2" width="16.3515625" bestFit="1" customWidth="1"/>
    <col min="3" max="3" width="23.3515625" bestFit="1" customWidth="1"/>
    <col min="4" max="4" width="16.3515625" bestFit="1" customWidth="1"/>
    <col min="5" max="5" width="14" bestFit="1" customWidth="1"/>
    <col min="6" max="6" width="25.8203125" bestFit="1" customWidth="1"/>
    <col min="7" max="7" width="28.17578125" bestFit="1" customWidth="1"/>
    <col min="8" max="8" width="9.29296875" bestFit="1" customWidth="1"/>
    <col min="9" max="9" width="14" bestFit="1" customWidth="1"/>
    <col min="10" max="10" width="12.8203125" bestFit="1" customWidth="1"/>
    <col min="11" max="11" width="5.8203125" bestFit="1" customWidth="1"/>
    <col min="12" max="12" width="23.3515625" bestFit="1" customWidth="1"/>
    <col min="13" max="13" width="31.703125" bestFit="1" customWidth="1"/>
    <col min="14" max="15" width="9.29296875" bestFit="1" customWidth="1"/>
    <col min="16" max="16" width="11.703125" bestFit="1" customWidth="1"/>
    <col min="17" max="17" width="9.29296875" bestFit="1" customWidth="1"/>
    <col min="18" max="18" width="16.3515625" bestFit="1" customWidth="1"/>
    <col min="19" max="19" width="14" bestFit="1" customWidth="1"/>
    <col min="20" max="20" width="25.8203125" bestFit="1" customWidth="1"/>
    <col min="21" max="21" width="15.29296875" bestFit="1" customWidth="1"/>
    <col min="22" max="22" width="17.52734375" bestFit="1" customWidth="1"/>
    <col min="23" max="23" width="23.3515625" bestFit="1" customWidth="1"/>
    <col min="24" max="24" width="25.8203125" bestFit="1" customWidth="1"/>
    <col min="25" max="26" width="15.29296875" bestFit="1" customWidth="1"/>
    <col min="27" max="27" width="9.29296875" bestFit="1" customWidth="1"/>
    <col min="28" max="28" width="23.3515625" bestFit="1" customWidth="1"/>
    <col min="29" max="29" width="22.29296875" bestFit="1" customWidth="1"/>
    <col min="30" max="31" width="17.52734375" bestFit="1" customWidth="1"/>
    <col min="32" max="32" width="15.29296875" bestFit="1" customWidth="1"/>
    <col min="33" max="33" width="17.52734375" bestFit="1" customWidth="1"/>
    <col min="34" max="34" width="1.17578125" bestFit="1" customWidth="1"/>
    <col min="35" max="51" width="9.05859375" bestFit="1"/>
  </cols>
  <sheetData>
    <row r="1" spans="1:3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5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/>
      <c r="AH4" s="1"/>
    </row>
    <row r="5" spans="1:34" x14ac:dyDescent="0.5">
      <c r="A5" t="s">
        <v>34</v>
      </c>
      <c r="B5" s="2">
        <v>25697</v>
      </c>
      <c r="C5" s="2">
        <v>125</v>
      </c>
      <c r="D5" s="2">
        <v>0</v>
      </c>
      <c r="E5" s="2">
        <v>0</v>
      </c>
      <c r="F5" s="2">
        <v>0</v>
      </c>
      <c r="G5" s="2">
        <v>3690</v>
      </c>
      <c r="H5" s="2">
        <v>311</v>
      </c>
      <c r="I5" s="2">
        <v>862</v>
      </c>
      <c r="J5" s="2">
        <v>2422</v>
      </c>
      <c r="K5" s="2">
        <v>56</v>
      </c>
      <c r="L5" s="2">
        <v>0</v>
      </c>
      <c r="M5" s="2">
        <v>0</v>
      </c>
      <c r="N5" s="2">
        <v>0</v>
      </c>
      <c r="O5" s="2">
        <v>125</v>
      </c>
      <c r="P5" s="2">
        <v>102</v>
      </c>
      <c r="Q5" s="2">
        <v>0</v>
      </c>
      <c r="R5" s="2">
        <v>835</v>
      </c>
      <c r="S5" s="2">
        <v>0</v>
      </c>
      <c r="T5" s="2">
        <v>20</v>
      </c>
      <c r="U5" s="2">
        <v>1</v>
      </c>
      <c r="V5" s="2"/>
      <c r="W5" s="2">
        <v>0</v>
      </c>
      <c r="X5" s="2">
        <v>3633</v>
      </c>
      <c r="Y5" s="2">
        <v>0</v>
      </c>
      <c r="Z5" s="2">
        <v>49</v>
      </c>
      <c r="AA5" s="2">
        <v>40</v>
      </c>
      <c r="AB5" s="2">
        <v>21678</v>
      </c>
      <c r="AC5" s="2">
        <v>0</v>
      </c>
      <c r="AD5" s="2">
        <v>344</v>
      </c>
      <c r="AE5" s="2">
        <v>0</v>
      </c>
      <c r="AF5" s="2">
        <v>6268</v>
      </c>
      <c r="AG5" s="2"/>
      <c r="AH5" s="2"/>
    </row>
    <row r="6" spans="1:34" x14ac:dyDescent="0.5">
      <c r="A6" t="s">
        <v>35</v>
      </c>
      <c r="B6" s="2">
        <v>21678</v>
      </c>
      <c r="C6" s="2">
        <v>401</v>
      </c>
      <c r="D6" s="2">
        <v>0</v>
      </c>
      <c r="E6" s="2">
        <v>0</v>
      </c>
      <c r="F6" s="2">
        <v>0</v>
      </c>
      <c r="G6" s="2">
        <v>1262</v>
      </c>
      <c r="H6" s="2">
        <v>622</v>
      </c>
      <c r="I6" s="2">
        <v>1253</v>
      </c>
      <c r="J6" s="2">
        <v>2256</v>
      </c>
      <c r="K6" s="2">
        <v>75</v>
      </c>
      <c r="L6" s="2">
        <v>0</v>
      </c>
      <c r="M6" s="2">
        <v>0</v>
      </c>
      <c r="N6" s="2">
        <v>32</v>
      </c>
      <c r="O6" s="2">
        <v>116</v>
      </c>
      <c r="P6" s="2">
        <v>82</v>
      </c>
      <c r="Q6" s="2">
        <v>0</v>
      </c>
      <c r="R6" s="2">
        <v>0</v>
      </c>
      <c r="S6" s="2">
        <v>0</v>
      </c>
      <c r="T6" s="2">
        <v>0</v>
      </c>
      <c r="U6" s="2">
        <v>11</v>
      </c>
      <c r="V6" s="2"/>
      <c r="W6" s="2">
        <v>0</v>
      </c>
      <c r="X6" s="2">
        <v>1273</v>
      </c>
      <c r="Y6" s="2">
        <v>0</v>
      </c>
      <c r="Z6" s="2">
        <v>178</v>
      </c>
      <c r="AA6" s="2">
        <v>79</v>
      </c>
      <c r="AB6" s="2">
        <v>18608</v>
      </c>
      <c r="AC6" s="2">
        <v>0</v>
      </c>
      <c r="AD6" s="2">
        <v>362</v>
      </c>
      <c r="AE6" s="2">
        <v>0</v>
      </c>
      <c r="AF6" s="2">
        <v>3824</v>
      </c>
      <c r="AG6" s="2"/>
      <c r="AH6" s="2"/>
    </row>
    <row r="7" spans="1:34" x14ac:dyDescent="0.5">
      <c r="A7" t="s">
        <v>36</v>
      </c>
      <c r="B7" s="2">
        <v>18608</v>
      </c>
      <c r="C7" s="2">
        <v>4887</v>
      </c>
      <c r="D7" s="2">
        <v>0</v>
      </c>
      <c r="E7" s="2">
        <v>0</v>
      </c>
      <c r="F7" s="2">
        <v>0</v>
      </c>
      <c r="G7" s="2">
        <v>808</v>
      </c>
      <c r="H7" s="2">
        <v>0</v>
      </c>
      <c r="I7" s="2">
        <v>1288</v>
      </c>
      <c r="J7" s="2">
        <v>715</v>
      </c>
      <c r="K7" s="2">
        <v>54</v>
      </c>
      <c r="L7" s="2">
        <v>0</v>
      </c>
      <c r="M7" s="2">
        <v>0</v>
      </c>
      <c r="N7" s="2">
        <v>32</v>
      </c>
      <c r="O7" s="2">
        <v>130</v>
      </c>
      <c r="P7" s="2">
        <v>43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/>
      <c r="W7" s="2">
        <v>0</v>
      </c>
      <c r="X7" s="2">
        <v>884</v>
      </c>
      <c r="Y7" s="2">
        <v>0</v>
      </c>
      <c r="Z7" s="2">
        <v>16</v>
      </c>
      <c r="AA7" s="2">
        <v>1802</v>
      </c>
      <c r="AB7" s="2">
        <v>19339</v>
      </c>
      <c r="AC7" s="2">
        <v>0</v>
      </c>
      <c r="AD7" s="2">
        <v>404</v>
      </c>
      <c r="AE7" s="2">
        <v>0</v>
      </c>
      <c r="AF7" s="2">
        <v>3297</v>
      </c>
      <c r="AG7" s="2"/>
      <c r="AH7" s="2"/>
    </row>
    <row r="8" spans="1:34" x14ac:dyDescent="0.5">
      <c r="A8" t="s">
        <v>37</v>
      </c>
      <c r="B8" s="2">
        <v>19339</v>
      </c>
      <c r="C8" s="2">
        <v>5517</v>
      </c>
      <c r="D8" s="2">
        <v>0</v>
      </c>
      <c r="E8" s="2">
        <v>0</v>
      </c>
      <c r="F8" s="2">
        <v>0</v>
      </c>
      <c r="G8" s="2">
        <v>3885</v>
      </c>
      <c r="H8" s="2">
        <v>0</v>
      </c>
      <c r="I8" s="2">
        <v>1173</v>
      </c>
      <c r="J8" s="2">
        <v>4129</v>
      </c>
      <c r="K8" s="2">
        <v>16</v>
      </c>
      <c r="L8" s="2">
        <v>0</v>
      </c>
      <c r="M8" s="2">
        <v>0</v>
      </c>
      <c r="N8" s="2">
        <v>0</v>
      </c>
      <c r="O8" s="2">
        <v>52</v>
      </c>
      <c r="P8" s="2">
        <v>7</v>
      </c>
      <c r="Q8" s="2">
        <v>0</v>
      </c>
      <c r="R8" s="2">
        <v>0</v>
      </c>
      <c r="S8" s="2">
        <v>0</v>
      </c>
      <c r="T8" s="2">
        <v>108</v>
      </c>
      <c r="U8" s="2">
        <v>3</v>
      </c>
      <c r="V8" s="2"/>
      <c r="W8" s="2">
        <v>0</v>
      </c>
      <c r="X8" s="2">
        <v>3935</v>
      </c>
      <c r="Y8" s="2">
        <v>0</v>
      </c>
      <c r="Z8" s="2">
        <v>93</v>
      </c>
      <c r="AA8" s="2">
        <v>74</v>
      </c>
      <c r="AB8" s="2">
        <v>19151</v>
      </c>
      <c r="AC8" s="2">
        <v>0</v>
      </c>
      <c r="AD8" s="2">
        <v>414</v>
      </c>
      <c r="AE8" s="2">
        <v>0</v>
      </c>
      <c r="AF8" s="2">
        <v>5314</v>
      </c>
      <c r="AG8" s="2"/>
      <c r="AH8" s="2"/>
    </row>
    <row r="9" spans="1:34" x14ac:dyDescent="0.5">
      <c r="A9" t="s">
        <v>38</v>
      </c>
      <c r="B9" s="2">
        <v>19151</v>
      </c>
      <c r="C9" s="2">
        <v>2819</v>
      </c>
      <c r="D9" s="2">
        <v>0</v>
      </c>
      <c r="E9" s="2">
        <v>0</v>
      </c>
      <c r="F9" s="2">
        <v>0</v>
      </c>
      <c r="G9" s="2">
        <v>1791</v>
      </c>
      <c r="H9" s="2">
        <v>66</v>
      </c>
      <c r="I9" s="2">
        <v>1455</v>
      </c>
      <c r="J9" s="2">
        <v>2386</v>
      </c>
      <c r="K9" s="2">
        <v>68</v>
      </c>
      <c r="L9" s="2">
        <v>0</v>
      </c>
      <c r="M9" s="2">
        <v>0</v>
      </c>
      <c r="N9" s="2">
        <v>0</v>
      </c>
      <c r="O9" s="2">
        <v>23</v>
      </c>
      <c r="P9" s="2">
        <v>4</v>
      </c>
      <c r="Q9" s="2">
        <v>0</v>
      </c>
      <c r="R9" s="2">
        <v>0</v>
      </c>
      <c r="S9" s="2">
        <v>0</v>
      </c>
      <c r="T9" s="2">
        <v>131</v>
      </c>
      <c r="U9" s="2">
        <v>26</v>
      </c>
      <c r="V9" s="2"/>
      <c r="W9" s="2">
        <v>0</v>
      </c>
      <c r="X9" s="2">
        <v>1590</v>
      </c>
      <c r="Y9" s="2">
        <v>0</v>
      </c>
      <c r="Z9" s="2">
        <v>73</v>
      </c>
      <c r="AA9" s="2">
        <v>37</v>
      </c>
      <c r="AB9" s="2">
        <v>18034</v>
      </c>
      <c r="AC9" s="2">
        <v>0</v>
      </c>
      <c r="AD9" s="2">
        <v>415</v>
      </c>
      <c r="AE9" s="2">
        <v>0</v>
      </c>
      <c r="AF9" s="2">
        <v>4468</v>
      </c>
      <c r="AG9" s="2"/>
      <c r="AH9" s="2"/>
    </row>
    <row r="10" spans="1:34" x14ac:dyDescent="0.5">
      <c r="A10" t="s">
        <v>39</v>
      </c>
      <c r="B10" s="2">
        <v>18034</v>
      </c>
      <c r="C10" s="2">
        <v>1672</v>
      </c>
      <c r="D10" s="2">
        <v>0</v>
      </c>
      <c r="E10" s="2">
        <v>0</v>
      </c>
      <c r="F10" s="2">
        <v>0</v>
      </c>
      <c r="G10" s="2">
        <v>624</v>
      </c>
      <c r="H10" s="2">
        <v>21</v>
      </c>
      <c r="I10" s="2">
        <v>1697</v>
      </c>
      <c r="J10" s="2">
        <v>1145</v>
      </c>
      <c r="K10" s="2">
        <v>0</v>
      </c>
      <c r="L10" s="2">
        <v>0</v>
      </c>
      <c r="M10" s="2">
        <v>0</v>
      </c>
      <c r="N10" s="2">
        <v>0</v>
      </c>
      <c r="O10" s="2">
        <v>65</v>
      </c>
      <c r="P10" s="2">
        <v>2</v>
      </c>
      <c r="Q10" s="2">
        <v>0</v>
      </c>
      <c r="R10" s="2">
        <v>0</v>
      </c>
      <c r="S10" s="2">
        <v>0</v>
      </c>
      <c r="T10" s="2">
        <v>172</v>
      </c>
      <c r="U10" s="2">
        <v>0</v>
      </c>
      <c r="V10" s="2"/>
      <c r="W10" s="2">
        <v>0</v>
      </c>
      <c r="X10" s="2">
        <v>638</v>
      </c>
      <c r="Y10" s="2">
        <v>0</v>
      </c>
      <c r="Z10" s="2">
        <v>203</v>
      </c>
      <c r="AA10" s="2">
        <v>68</v>
      </c>
      <c r="AB10" s="2">
        <v>16361</v>
      </c>
      <c r="AC10" s="2">
        <v>0</v>
      </c>
      <c r="AD10" s="2">
        <v>373</v>
      </c>
      <c r="AE10" s="2">
        <v>0</v>
      </c>
      <c r="AF10" s="2">
        <v>2984</v>
      </c>
      <c r="AG10" s="2"/>
      <c r="AH10" s="2"/>
    </row>
    <row r="11" spans="1:34" x14ac:dyDescent="0.5">
      <c r="A11" t="s">
        <v>40</v>
      </c>
      <c r="B11" s="2">
        <v>16361</v>
      </c>
      <c r="C11" s="2">
        <v>316</v>
      </c>
      <c r="D11" s="2">
        <v>0</v>
      </c>
      <c r="E11" s="2">
        <v>0</v>
      </c>
      <c r="F11" s="2">
        <v>0</v>
      </c>
      <c r="G11" s="2">
        <v>1544</v>
      </c>
      <c r="H11" s="2">
        <v>130</v>
      </c>
      <c r="I11" s="2">
        <v>1315</v>
      </c>
      <c r="J11" s="2">
        <v>315</v>
      </c>
      <c r="K11" s="2">
        <v>129</v>
      </c>
      <c r="L11" s="2">
        <v>0</v>
      </c>
      <c r="M11" s="2">
        <v>0</v>
      </c>
      <c r="N11" s="2">
        <v>0</v>
      </c>
      <c r="O11" s="2">
        <v>34</v>
      </c>
      <c r="P11" s="2">
        <v>10</v>
      </c>
      <c r="Q11" s="2">
        <v>0</v>
      </c>
      <c r="R11" s="2">
        <v>225</v>
      </c>
      <c r="S11" s="2">
        <v>0</v>
      </c>
      <c r="T11" s="2">
        <v>0</v>
      </c>
      <c r="U11" s="2">
        <v>0</v>
      </c>
      <c r="V11" s="2"/>
      <c r="W11" s="2">
        <v>0</v>
      </c>
      <c r="X11" s="2">
        <v>1593</v>
      </c>
      <c r="Y11" s="2">
        <v>0</v>
      </c>
      <c r="Z11" s="2">
        <v>317</v>
      </c>
      <c r="AA11" s="2">
        <v>26</v>
      </c>
      <c r="AB11" s="2">
        <v>14387</v>
      </c>
      <c r="AC11" s="2">
        <v>0</v>
      </c>
      <c r="AD11" s="2">
        <v>401</v>
      </c>
      <c r="AE11" s="2">
        <v>0</v>
      </c>
      <c r="AF11" s="2">
        <v>2291</v>
      </c>
      <c r="AG11" s="2"/>
      <c r="AH11" s="2"/>
    </row>
    <row r="12" spans="1:34" x14ac:dyDescent="0.5">
      <c r="A12" t="s">
        <v>41</v>
      </c>
      <c r="B12" s="2">
        <v>14387</v>
      </c>
      <c r="C12" s="2">
        <v>4</v>
      </c>
      <c r="D12" s="2">
        <v>0</v>
      </c>
      <c r="E12" s="2">
        <v>0</v>
      </c>
      <c r="F12" s="2">
        <v>0</v>
      </c>
      <c r="G12" s="2">
        <v>1582</v>
      </c>
      <c r="H12" s="2">
        <v>446</v>
      </c>
      <c r="I12" s="2">
        <v>526</v>
      </c>
      <c r="J12" s="2">
        <v>1347</v>
      </c>
      <c r="K12" s="2">
        <v>104</v>
      </c>
      <c r="L12" s="2">
        <v>0</v>
      </c>
      <c r="M12" s="2">
        <v>0</v>
      </c>
      <c r="N12" s="2">
        <v>0</v>
      </c>
      <c r="O12" s="2">
        <v>50</v>
      </c>
      <c r="P12" s="2">
        <v>1</v>
      </c>
      <c r="Q12" s="2">
        <v>0</v>
      </c>
      <c r="R12" s="2">
        <v>154</v>
      </c>
      <c r="S12" s="2">
        <v>0</v>
      </c>
      <c r="T12" s="2">
        <v>32</v>
      </c>
      <c r="U12" s="2">
        <v>4</v>
      </c>
      <c r="V12" s="2"/>
      <c r="W12" s="2">
        <v>0</v>
      </c>
      <c r="X12" s="2">
        <v>1656</v>
      </c>
      <c r="Y12" s="2">
        <v>0</v>
      </c>
      <c r="Z12" s="2">
        <v>102</v>
      </c>
      <c r="AA12" s="2">
        <v>21</v>
      </c>
      <c r="AB12" s="2">
        <v>12422</v>
      </c>
      <c r="AC12" s="2">
        <v>0</v>
      </c>
      <c r="AD12" s="2">
        <v>153</v>
      </c>
      <c r="AE12" s="2">
        <v>0</v>
      </c>
      <c r="AF12" s="2">
        <v>1924</v>
      </c>
      <c r="AG12" s="2"/>
      <c r="AH12" s="2"/>
    </row>
    <row r="13" spans="1:34" x14ac:dyDescent="0.5">
      <c r="A13" t="s">
        <v>42</v>
      </c>
      <c r="B13" s="2">
        <v>12422</v>
      </c>
      <c r="C13" s="2">
        <v>171</v>
      </c>
      <c r="D13" s="2">
        <v>0</v>
      </c>
      <c r="E13" s="2">
        <v>0</v>
      </c>
      <c r="F13" s="2">
        <v>0</v>
      </c>
      <c r="G13" s="2">
        <v>7260</v>
      </c>
      <c r="H13" s="2">
        <v>278</v>
      </c>
      <c r="I13" s="2">
        <v>291</v>
      </c>
      <c r="J13" s="2">
        <v>1712</v>
      </c>
      <c r="K13" s="2">
        <v>4</v>
      </c>
      <c r="L13" s="2">
        <v>0</v>
      </c>
      <c r="M13" s="2">
        <v>0</v>
      </c>
      <c r="N13" s="2">
        <v>0</v>
      </c>
      <c r="O13" s="2">
        <v>83</v>
      </c>
      <c r="P13" s="2">
        <v>10</v>
      </c>
      <c r="Q13" s="2">
        <v>0</v>
      </c>
      <c r="R13" s="2">
        <v>0</v>
      </c>
      <c r="S13" s="2">
        <v>0</v>
      </c>
      <c r="T13" s="2">
        <v>0</v>
      </c>
      <c r="U13" s="2">
        <v>3</v>
      </c>
      <c r="V13" s="2"/>
      <c r="W13" s="2">
        <v>0</v>
      </c>
      <c r="X13" s="2">
        <v>7303</v>
      </c>
      <c r="Y13" s="2">
        <v>0</v>
      </c>
      <c r="Z13" s="2">
        <v>78</v>
      </c>
      <c r="AA13" s="2">
        <v>132</v>
      </c>
      <c r="AB13" s="2">
        <v>10515</v>
      </c>
      <c r="AC13" s="2">
        <v>0</v>
      </c>
      <c r="AD13" s="2">
        <v>0</v>
      </c>
      <c r="AE13" s="2">
        <v>0</v>
      </c>
      <c r="AF13" s="2">
        <v>7047</v>
      </c>
      <c r="AG13" s="2"/>
      <c r="AH13" s="2"/>
    </row>
    <row r="14" spans="1:34" x14ac:dyDescent="0.5">
      <c r="A14" t="s">
        <v>43</v>
      </c>
      <c r="B14" s="2">
        <v>10515</v>
      </c>
      <c r="C14" s="2">
        <v>31</v>
      </c>
      <c r="D14" s="2">
        <v>0</v>
      </c>
      <c r="E14" s="2">
        <v>0</v>
      </c>
      <c r="F14" s="2">
        <v>0</v>
      </c>
      <c r="G14" s="2">
        <v>225</v>
      </c>
      <c r="H14" s="2">
        <v>126</v>
      </c>
      <c r="I14" s="2">
        <v>185</v>
      </c>
      <c r="J14" s="2">
        <v>2805</v>
      </c>
      <c r="K14" s="2">
        <v>3</v>
      </c>
      <c r="L14" s="2">
        <v>0</v>
      </c>
      <c r="M14" s="2">
        <v>0</v>
      </c>
      <c r="N14" s="2">
        <v>0</v>
      </c>
      <c r="O14" s="2">
        <v>34</v>
      </c>
      <c r="P14" s="2">
        <v>3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/>
      <c r="W14" s="2">
        <v>0</v>
      </c>
      <c r="X14" s="2">
        <v>136</v>
      </c>
      <c r="Y14" s="2">
        <v>0</v>
      </c>
      <c r="Z14" s="2">
        <v>98</v>
      </c>
      <c r="AA14" s="2">
        <v>11</v>
      </c>
      <c r="AB14" s="2">
        <v>7622</v>
      </c>
      <c r="AC14" s="2">
        <v>0</v>
      </c>
      <c r="AD14" s="2">
        <v>0</v>
      </c>
      <c r="AE14" s="2">
        <v>0</v>
      </c>
      <c r="AF14" s="2">
        <v>4350</v>
      </c>
      <c r="AG14" s="2"/>
      <c r="AH14" s="2"/>
    </row>
    <row r="15" spans="1:34" x14ac:dyDescent="0.5">
      <c r="A15" t="s">
        <v>44</v>
      </c>
      <c r="B15" s="2">
        <v>7622</v>
      </c>
      <c r="C15" s="2">
        <v>34</v>
      </c>
      <c r="D15" s="2">
        <v>0</v>
      </c>
      <c r="E15" s="2">
        <v>0</v>
      </c>
      <c r="F15" s="2">
        <v>0</v>
      </c>
      <c r="G15" s="2">
        <v>451</v>
      </c>
      <c r="H15" s="2">
        <v>320</v>
      </c>
      <c r="I15" s="2">
        <v>424</v>
      </c>
      <c r="J15" s="2">
        <v>3298</v>
      </c>
      <c r="K15" s="2">
        <v>0</v>
      </c>
      <c r="L15" s="2">
        <v>0</v>
      </c>
      <c r="M15" s="2">
        <v>0</v>
      </c>
      <c r="N15" s="2">
        <v>0</v>
      </c>
      <c r="O15" s="2">
        <v>3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/>
      <c r="W15" s="2">
        <v>0</v>
      </c>
      <c r="X15" s="2">
        <v>236</v>
      </c>
      <c r="Y15" s="2">
        <v>0</v>
      </c>
      <c r="Z15" s="2">
        <v>156</v>
      </c>
      <c r="AA15" s="2">
        <v>203</v>
      </c>
      <c r="AB15" s="2">
        <v>4107</v>
      </c>
      <c r="AC15" s="2">
        <v>0</v>
      </c>
      <c r="AD15" s="2">
        <v>0</v>
      </c>
      <c r="AE15" s="2">
        <v>0</v>
      </c>
      <c r="AF15" s="2">
        <v>1335</v>
      </c>
      <c r="AG15" s="2"/>
      <c r="AH15" s="2"/>
    </row>
    <row r="16" spans="1:34" x14ac:dyDescent="0.5">
      <c r="A16" t="s">
        <v>45</v>
      </c>
      <c r="B16" s="2">
        <v>4107</v>
      </c>
      <c r="C16" s="2">
        <v>0</v>
      </c>
      <c r="D16" s="2">
        <v>0</v>
      </c>
      <c r="E16" s="2">
        <v>0</v>
      </c>
      <c r="F16" s="2">
        <v>0</v>
      </c>
      <c r="G16" s="2">
        <v>457</v>
      </c>
      <c r="H16" s="2">
        <v>87</v>
      </c>
      <c r="I16" s="2">
        <v>475</v>
      </c>
      <c r="J16" s="2">
        <v>192</v>
      </c>
      <c r="K16" s="2">
        <v>0</v>
      </c>
      <c r="L16" s="2">
        <v>0</v>
      </c>
      <c r="M16" s="2">
        <v>0</v>
      </c>
      <c r="N16" s="2">
        <v>0</v>
      </c>
      <c r="O16" s="2">
        <v>45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/>
      <c r="W16" s="2">
        <v>0</v>
      </c>
      <c r="X16" s="2">
        <v>512</v>
      </c>
      <c r="Y16" s="2">
        <v>0</v>
      </c>
      <c r="Z16" s="2">
        <v>2</v>
      </c>
      <c r="AA16" s="2">
        <v>23</v>
      </c>
      <c r="AB16" s="2">
        <v>3402</v>
      </c>
      <c r="AC16" s="2">
        <v>0</v>
      </c>
      <c r="AD16" s="2">
        <v>200</v>
      </c>
      <c r="AE16" s="2">
        <v>0</v>
      </c>
      <c r="AF16" s="2">
        <v>1076</v>
      </c>
      <c r="AG16" s="2"/>
      <c r="AH16" s="2"/>
    </row>
    <row r="17" spans="1:34" x14ac:dyDescent="0.5">
      <c r="A17" s="1"/>
      <c r="B17" s="3"/>
      <c r="C17" s="4">
        <f t="shared" ref="C17:U17" si="0">SUM(C5:C16)</f>
        <v>15977</v>
      </c>
      <c r="D17" s="5">
        <f t="shared" si="0"/>
        <v>0</v>
      </c>
      <c r="E17" s="5">
        <f t="shared" si="0"/>
        <v>0</v>
      </c>
      <c r="F17" s="5">
        <f t="shared" si="0"/>
        <v>0</v>
      </c>
      <c r="G17" s="5">
        <f t="shared" si="0"/>
        <v>23579</v>
      </c>
      <c r="H17" s="5">
        <f t="shared" si="0"/>
        <v>2407</v>
      </c>
      <c r="I17" s="5">
        <f t="shared" si="0"/>
        <v>10944</v>
      </c>
      <c r="J17" s="5">
        <f t="shared" si="0"/>
        <v>22722</v>
      </c>
      <c r="K17" s="5">
        <f t="shared" si="0"/>
        <v>509</v>
      </c>
      <c r="L17" s="5">
        <f t="shared" si="0"/>
        <v>0</v>
      </c>
      <c r="M17" s="5">
        <f t="shared" si="0"/>
        <v>0</v>
      </c>
      <c r="N17" s="5">
        <f t="shared" si="0"/>
        <v>64</v>
      </c>
      <c r="O17" s="5">
        <f t="shared" si="0"/>
        <v>760</v>
      </c>
      <c r="P17" s="5">
        <f t="shared" si="0"/>
        <v>264</v>
      </c>
      <c r="Q17" s="5">
        <f t="shared" si="0"/>
        <v>0</v>
      </c>
      <c r="R17" s="5">
        <f t="shared" si="0"/>
        <v>1214</v>
      </c>
      <c r="S17" s="5">
        <f t="shared" si="0"/>
        <v>0</v>
      </c>
      <c r="T17" s="5">
        <f t="shared" si="0"/>
        <v>463</v>
      </c>
      <c r="U17" s="5">
        <f t="shared" si="0"/>
        <v>48</v>
      </c>
      <c r="V17" s="5"/>
      <c r="W17" s="5">
        <f>SUM(W5:W16)</f>
        <v>0</v>
      </c>
      <c r="X17" s="5">
        <f>SUM(X5:X16)</f>
        <v>23389</v>
      </c>
      <c r="Y17" s="5">
        <f>SUM(Y5:Y16)</f>
        <v>0</v>
      </c>
      <c r="Z17" s="5">
        <f>SUM(Z5:Z16)</f>
        <v>1365</v>
      </c>
      <c r="AA17" s="5">
        <f>SUM(AA5:AB16)</f>
        <v>168142</v>
      </c>
      <c r="AB17" s="5"/>
      <c r="AC17" s="5">
        <f>SUM(AC5:AC16)</f>
        <v>0</v>
      </c>
      <c r="AD17" s="5">
        <f>SUM(AD5:AD16)</f>
        <v>3066</v>
      </c>
      <c r="AE17" s="5">
        <f>SUM(AE5:AE16)</f>
        <v>0</v>
      </c>
      <c r="AF17" s="6"/>
      <c r="AG17" s="3"/>
      <c r="AH17" s="3"/>
    </row>
    <row r="18" spans="1:34" x14ac:dyDescent="0.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5">
      <c r="A20" s="1" t="s">
        <v>46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5">
      <c r="A21" s="1" t="s">
        <v>2</v>
      </c>
      <c r="B21" s="1" t="s">
        <v>3</v>
      </c>
      <c r="C21" s="1" t="s">
        <v>4</v>
      </c>
      <c r="D21" s="1" t="s">
        <v>5</v>
      </c>
      <c r="E21" s="1" t="s">
        <v>6</v>
      </c>
      <c r="F21" s="1" t="s">
        <v>7</v>
      </c>
      <c r="G21" s="1" t="s">
        <v>8</v>
      </c>
      <c r="H21" s="1" t="s">
        <v>9</v>
      </c>
      <c r="I21" s="1" t="s">
        <v>10</v>
      </c>
      <c r="J21" s="1" t="s">
        <v>11</v>
      </c>
      <c r="K21" s="1" t="s">
        <v>12</v>
      </c>
      <c r="L21" s="1" t="s">
        <v>13</v>
      </c>
      <c r="M21" s="1" t="s">
        <v>14</v>
      </c>
      <c r="N21" s="1" t="s">
        <v>15</v>
      </c>
      <c r="O21" s="1" t="s">
        <v>16</v>
      </c>
      <c r="P21" s="1" t="s">
        <v>17</v>
      </c>
      <c r="Q21" s="1" t="s">
        <v>18</v>
      </c>
      <c r="R21" s="1" t="s">
        <v>19</v>
      </c>
      <c r="S21" s="1" t="s">
        <v>20</v>
      </c>
      <c r="T21" s="1" t="s">
        <v>21</v>
      </c>
      <c r="U21" s="1" t="s">
        <v>22</v>
      </c>
      <c r="V21" s="1" t="s">
        <v>23</v>
      </c>
      <c r="W21" s="1" t="s">
        <v>24</v>
      </c>
      <c r="X21" s="1" t="s">
        <v>25</v>
      </c>
      <c r="Y21" s="1" t="s">
        <v>26</v>
      </c>
      <c r="Z21" s="1" t="s">
        <v>27</v>
      </c>
      <c r="AA21" s="1" t="s">
        <v>28</v>
      </c>
      <c r="AB21" s="1" t="s">
        <v>47</v>
      </c>
      <c r="AC21" s="1" t="s">
        <v>48</v>
      </c>
      <c r="AD21" s="1" t="s">
        <v>49</v>
      </c>
      <c r="AE21" s="1" t="s">
        <v>50</v>
      </c>
      <c r="AF21" s="1" t="s">
        <v>31</v>
      </c>
      <c r="AG21" s="1" t="s">
        <v>32</v>
      </c>
      <c r="AH21" s="1"/>
    </row>
    <row r="22" spans="1:34" x14ac:dyDescent="0.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x14ac:dyDescent="0.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x14ac:dyDescent="0.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5">
      <c r="A34" s="1"/>
      <c r="B34" s="3"/>
      <c r="C34" s="4">
        <f t="shared" ref="C34:AA34" si="1">SUM(C22:C33)</f>
        <v>0</v>
      </c>
      <c r="D34" s="5">
        <f t="shared" si="1"/>
        <v>0</v>
      </c>
      <c r="E34" s="5">
        <f t="shared" si="1"/>
        <v>0</v>
      </c>
      <c r="F34" s="5">
        <f t="shared" si="1"/>
        <v>0</v>
      </c>
      <c r="G34" s="5">
        <f t="shared" si="1"/>
        <v>0</v>
      </c>
      <c r="H34" s="5">
        <f t="shared" si="1"/>
        <v>0</v>
      </c>
      <c r="I34" s="5">
        <f t="shared" si="1"/>
        <v>0</v>
      </c>
      <c r="J34" s="5">
        <f t="shared" si="1"/>
        <v>0</v>
      </c>
      <c r="K34" s="5">
        <f t="shared" si="1"/>
        <v>0</v>
      </c>
      <c r="L34" s="5">
        <f t="shared" si="1"/>
        <v>0</v>
      </c>
      <c r="M34" s="5">
        <f t="shared" si="1"/>
        <v>0</v>
      </c>
      <c r="N34" s="5">
        <f t="shared" si="1"/>
        <v>0</v>
      </c>
      <c r="O34" s="5">
        <f t="shared" si="1"/>
        <v>0</v>
      </c>
      <c r="P34" s="5">
        <f t="shared" si="1"/>
        <v>0</v>
      </c>
      <c r="Q34" s="5">
        <f t="shared" si="1"/>
        <v>0</v>
      </c>
      <c r="R34" s="5">
        <f t="shared" si="1"/>
        <v>0</v>
      </c>
      <c r="S34" s="5">
        <f t="shared" si="1"/>
        <v>0</v>
      </c>
      <c r="T34" s="5">
        <f t="shared" si="1"/>
        <v>0</v>
      </c>
      <c r="U34" s="5">
        <f t="shared" si="1"/>
        <v>0</v>
      </c>
      <c r="V34" s="5">
        <f t="shared" si="1"/>
        <v>0</v>
      </c>
      <c r="W34" s="5">
        <f t="shared" si="1"/>
        <v>0</v>
      </c>
      <c r="X34" s="5">
        <f t="shared" si="1"/>
        <v>0</v>
      </c>
      <c r="Y34" s="5">
        <f t="shared" si="1"/>
        <v>0</v>
      </c>
      <c r="Z34" s="5">
        <f t="shared" si="1"/>
        <v>0</v>
      </c>
      <c r="AA34" s="5">
        <f t="shared" si="1"/>
        <v>0</v>
      </c>
      <c r="AB34" s="5"/>
      <c r="AC34" s="5"/>
      <c r="AD34" s="5">
        <f>SUM(AD22:AD33)</f>
        <v>0</v>
      </c>
      <c r="AE34" s="5">
        <f>SUM(AE22:AE33)</f>
        <v>0</v>
      </c>
      <c r="AF34" s="5">
        <f>SUM(AF22:AF33)</f>
        <v>0</v>
      </c>
      <c r="AG34" s="6">
        <f>SUM(AG22:AG33)</f>
        <v>0</v>
      </c>
      <c r="AH34" s="3"/>
    </row>
    <row r="35" spans="1:34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5">
      <c r="A37" s="1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5">
      <c r="A38" s="1" t="s">
        <v>2</v>
      </c>
      <c r="B38" s="1" t="s">
        <v>3</v>
      </c>
      <c r="C38" s="1" t="s">
        <v>4</v>
      </c>
      <c r="D38" s="1" t="s">
        <v>5</v>
      </c>
      <c r="E38" s="1" t="s">
        <v>6</v>
      </c>
      <c r="F38" s="1" t="s">
        <v>7</v>
      </c>
      <c r="G38" s="1" t="s">
        <v>8</v>
      </c>
      <c r="H38" s="1" t="s">
        <v>9</v>
      </c>
      <c r="I38" s="1" t="s">
        <v>10</v>
      </c>
      <c r="J38" s="1" t="s">
        <v>11</v>
      </c>
      <c r="K38" s="1" t="s">
        <v>12</v>
      </c>
      <c r="L38" s="1" t="s">
        <v>13</v>
      </c>
      <c r="M38" s="1" t="s">
        <v>14</v>
      </c>
      <c r="N38" s="1" t="s">
        <v>15</v>
      </c>
      <c r="O38" s="1" t="s">
        <v>16</v>
      </c>
      <c r="P38" s="1" t="s">
        <v>17</v>
      </c>
      <c r="Q38" s="1" t="s">
        <v>18</v>
      </c>
      <c r="R38" s="1" t="s">
        <v>19</v>
      </c>
      <c r="S38" s="1" t="s">
        <v>20</v>
      </c>
      <c r="T38" s="1" t="s">
        <v>21</v>
      </c>
      <c r="U38" s="1" t="s">
        <v>22</v>
      </c>
      <c r="V38" s="1" t="s">
        <v>23</v>
      </c>
      <c r="W38" s="1" t="s">
        <v>24</v>
      </c>
      <c r="X38" s="1" t="s">
        <v>25</v>
      </c>
      <c r="Y38" s="1" t="s">
        <v>26</v>
      </c>
      <c r="Z38" s="1" t="s">
        <v>27</v>
      </c>
      <c r="AA38" s="1" t="s">
        <v>28</v>
      </c>
      <c r="AB38" s="1" t="s">
        <v>47</v>
      </c>
      <c r="AC38" s="1" t="s">
        <v>52</v>
      </c>
      <c r="AD38" s="1" t="s">
        <v>31</v>
      </c>
      <c r="AE38" s="1" t="s">
        <v>32</v>
      </c>
      <c r="AF38" s="1" t="s">
        <v>53</v>
      </c>
      <c r="AG38" s="1" t="s">
        <v>54</v>
      </c>
      <c r="AH38" s="1"/>
    </row>
    <row r="39" spans="1:34" x14ac:dyDescent="0.5">
      <c r="A39" t="str">
        <f t="shared" ref="A39:A50" si="2">A5</f>
        <v>2016/03/01</v>
      </c>
      <c r="B39" s="2">
        <f>IF(A39=0,"",SUMIF(A22:A33,A5,B22:B33) + B5)</f>
        <v>25697</v>
      </c>
      <c r="C39" s="2">
        <f>IF(A39=0,"",SUMIF(A22:A33,A5,C22:C33) + C5)</f>
        <v>125</v>
      </c>
      <c r="D39" s="2">
        <f>IF(A39=0,"",SUMIF(A22:A33,A5,D22:D33) + D5)</f>
        <v>0</v>
      </c>
      <c r="E39" s="2">
        <f>IF(A39=0,"",SUMIF(A22:A33,A5,E22:E33) + E5)</f>
        <v>0</v>
      </c>
      <c r="F39" s="2">
        <f>IF(A39=0,"",SUMIF(A22:A33,A5,F22:F33) + F5)</f>
        <v>0</v>
      </c>
      <c r="G39" s="2">
        <f>IF(A39=0,"",SUMIF(A22:A33,A5,G22:G33) + G5)</f>
        <v>3690</v>
      </c>
      <c r="H39" s="2">
        <f>IF(A39=0,"",SUMIF(A22:A33,A5,H22:H33) + H5)</f>
        <v>311</v>
      </c>
      <c r="I39" s="2">
        <f>IF(A39=0,"",SUMIF(A22:A33,A5,I22:I33) + I5)</f>
        <v>862</v>
      </c>
      <c r="J39" s="2">
        <f>IF(A39=0,"",SUMIF(A22:A33,A5,J22:J33) + J5)</f>
        <v>2422</v>
      </c>
      <c r="K39" s="2">
        <f>IF(A39=0,"",SUMIF(A22:A33,A5,K22:K33) + K5)</f>
        <v>56</v>
      </c>
      <c r="L39" s="2">
        <f>IF(A39=0,"",SUMIF(A22:A33,A5,L22:L33) + L5)</f>
        <v>0</v>
      </c>
      <c r="M39" s="2">
        <f>IF(A39=0,"",SUMIF(A22:A33,A5,M22:M33) + M5)</f>
        <v>0</v>
      </c>
      <c r="N39" s="2">
        <f>IF(A39=0,"",SUMIF(A22:A33,A5,N22:N33) + N5)</f>
        <v>0</v>
      </c>
      <c r="O39" s="2">
        <f>IF(A39=0,"",SUMIF(A22:A33,A5,O22:O33) + O5)</f>
        <v>125</v>
      </c>
      <c r="P39" s="2">
        <f>IF(A39=0,"",SUMIF(A22:A33,A5,P22:P33) + P5)</f>
        <v>102</v>
      </c>
      <c r="Q39" s="2">
        <f>IF(A39=0,"",SUMIF(A22:A33,A5,Q22:Q33) + Q5)</f>
        <v>0</v>
      </c>
      <c r="R39" s="2">
        <f>IF(A39=0,"",SUMIF(A22:A33,A5,R22:R33) + R5)</f>
        <v>835</v>
      </c>
      <c r="S39" s="2">
        <f>IF(A39=0,"",SUMIF(A22:A33,A5,S22:S33) + S5)</f>
        <v>0</v>
      </c>
      <c r="T39" s="2">
        <f>IF(A39=0,"",SUMIF(A22:A33,A5,T22:T33) + T5)</f>
        <v>20</v>
      </c>
      <c r="U39" s="2">
        <f>IF(A39=0,"",SUMIF(A22:A33,A5,U22:U33) + U5)</f>
        <v>1</v>
      </c>
      <c r="V39" s="2">
        <f>IF(A39=0,"",SUMIF(A22:A33,A5,V22:V33) + V5)</f>
        <v>0</v>
      </c>
      <c r="W39" s="2">
        <f>IF(A39=0,"",SUMIF(A22:A33,A5,W22:W33) + W5)</f>
        <v>0</v>
      </c>
      <c r="X39" s="2">
        <f>IF(A39=0,"",SUMIF(A22:A33,A5,X22:X33) + X5)</f>
        <v>3633</v>
      </c>
      <c r="Y39" s="2">
        <f>IF(A39=0,"",SUMIF(A22:A33,A5,Y22:Y33) + Y5)</f>
        <v>0</v>
      </c>
      <c r="Z39" s="2">
        <f>IF(A39=0,"",SUMIF(A22:A33,A5,Z22:Z33) + Z5)</f>
        <v>49</v>
      </c>
      <c r="AA39" s="2">
        <f>IF(A39=0,"",SUMIF(A22:A33,A5,AA22:AA33) + AA5)</f>
        <v>40</v>
      </c>
      <c r="AB39" s="2">
        <f>IFERROR(IF(A39=0,"",SUMIF(A22:A33,A5,AB22:AB33) + AB5 - AF5) + SUMIF(A22:A33,A5,AD22:AD33),"")</f>
        <v>15410</v>
      </c>
      <c r="AC39" s="2">
        <f>IF(A39=0,"",SUMIF(A22:A33,A5,AC22:AC33) + SUMIF(A22:A33,A5,AE22:AE33) + AF5)</f>
        <v>6268</v>
      </c>
      <c r="AD39" s="2">
        <f>IF(A39=0,"",SUMIF(A22:A33,A5,AF22:AF33) + AD5)</f>
        <v>344</v>
      </c>
      <c r="AE39" s="2">
        <f>IF(A39=0,"",SUMIF(A22:A33,A5,AG22:AG33) + AE5)</f>
        <v>0</v>
      </c>
      <c r="AF39" s="2">
        <f>IF(A39=0,"",SUMIF(A22:A33,A5,AD22:AD33))</f>
        <v>0</v>
      </c>
      <c r="AG39" s="2">
        <f>IF(A39=0,"",SUMIF(A22:A33,A5,AE22:AE33))</f>
        <v>0</v>
      </c>
      <c r="AH39" s="2"/>
    </row>
    <row r="40" spans="1:34" x14ac:dyDescent="0.5">
      <c r="A40" t="str">
        <f t="shared" si="2"/>
        <v>2016/04/01</v>
      </c>
      <c r="B40" s="2">
        <f>IF(A40=0,"",SUMIF(A22:A33,A6,B22:B33) + B6)</f>
        <v>21678</v>
      </c>
      <c r="C40" s="2">
        <f>IF(A40=0,"",SUMIF(A22:A33,A6,C22:C33) + C6)</f>
        <v>401</v>
      </c>
      <c r="D40" s="2">
        <f>IF(A40=0,"",SUMIF(A22:A33,A6,D22:D33) + D6)</f>
        <v>0</v>
      </c>
      <c r="E40" s="2">
        <f>IF(A40=0,"",SUMIF(A22:A33,A6,E22:E33) + E6)</f>
        <v>0</v>
      </c>
      <c r="F40" s="2">
        <f>IF(A40=0,"",SUMIF(A22:A33,A6,F22:F33) + F6)</f>
        <v>0</v>
      </c>
      <c r="G40" s="2">
        <f>IF(A40=0,"",SUMIF(A22:A33,A6,G22:G33) + G6)</f>
        <v>1262</v>
      </c>
      <c r="H40" s="2">
        <f>IF(A40=0,"",SUMIF(A22:A33,A6,H22:H33) + H6)</f>
        <v>622</v>
      </c>
      <c r="I40" s="2">
        <f>IF(A40=0,"",SUMIF(A22:A33,A6,I22:I33) + I6)</f>
        <v>1253</v>
      </c>
      <c r="J40" s="2">
        <f>IF(A40=0,"",SUMIF(A22:A33,A6,J22:J33) + J6)</f>
        <v>2256</v>
      </c>
      <c r="K40" s="2">
        <f>IF(A40=0,"",SUMIF(A22:A33,A6,K22:K33) + K6)</f>
        <v>75</v>
      </c>
      <c r="L40" s="2">
        <f>IF(A40=0,"",SUMIF(A22:A33,A6,L22:L33) + L6)</f>
        <v>0</v>
      </c>
      <c r="M40" s="2">
        <f>IF(A40=0,"",SUMIF(A22:A33,A6,M22:M33) + M6)</f>
        <v>0</v>
      </c>
      <c r="N40" s="2">
        <f>IF(A40=0,"",SUMIF(A22:A33,A6,N22:N33) + N6)</f>
        <v>32</v>
      </c>
      <c r="O40" s="2">
        <f>IF(A40=0,"",SUMIF(A22:A33,A6,O22:O33) + O6)</f>
        <v>116</v>
      </c>
      <c r="P40" s="2">
        <f>IF(A40=0,"",SUMIF(A22:A33,A6,P22:P33) + P6)</f>
        <v>82</v>
      </c>
      <c r="Q40" s="2">
        <f>IF(A40=0,"",SUMIF(A22:A33,A6,Q22:Q33) + Q6)</f>
        <v>0</v>
      </c>
      <c r="R40" s="2">
        <f>IF(A40=0,"",SUMIF(A22:A33,A6,R22:R33) + R6)</f>
        <v>0</v>
      </c>
      <c r="S40" s="2">
        <f>IF(A40=0,"",SUMIF(A22:A33,A6,S22:S33) + S6)</f>
        <v>0</v>
      </c>
      <c r="T40" s="2">
        <f>IF(A40=0,"",SUMIF(A22:A33,A6,T22:T33) + T6)</f>
        <v>0</v>
      </c>
      <c r="U40" s="2">
        <f>IF(A40=0,"",SUMIF(A22:A33,A6,U22:U33) + U6)</f>
        <v>11</v>
      </c>
      <c r="V40" s="2">
        <f>IF(A40=0,"",SUMIF(A22:A33,A6,V22:V33) + V6)</f>
        <v>0</v>
      </c>
      <c r="W40" s="2">
        <f>IF(A40=0,"",SUMIF(A22:A33,A6,W22:W33) + W6)</f>
        <v>0</v>
      </c>
      <c r="X40" s="2">
        <f>IF(A40=0,"",SUMIF(A22:A33,A6,X22:X33) + X6)</f>
        <v>1273</v>
      </c>
      <c r="Y40" s="2">
        <f>IF(A40=0,"",SUMIF(A22:A33,A6,Y22:Y33) + Y6)</f>
        <v>0</v>
      </c>
      <c r="Z40" s="2">
        <f>IF(A40=0,"",SUMIF(A22:A33,A6,Z22:Z33) + Z6)</f>
        <v>178</v>
      </c>
      <c r="AA40" s="2">
        <f>IF(A40=0,"",SUMIF(A22:A33,A6,AA22:AA33) + AA6)</f>
        <v>79</v>
      </c>
      <c r="AB40" s="2">
        <f>IFERROR(IF(A40=0,"",SUMIF(A22:A33,A6,AB22:AB33) + AB6 - AF6) + SUMIF(A22:A33,A6,AD22:AD33),"")</f>
        <v>14784</v>
      </c>
      <c r="AC40" s="2">
        <f>IF(A40=0,"",SUMIF(A22:A33,A6,AC22:AC33) + SUMIF(A22:A33,A6,AE22:AE33) + AF6)</f>
        <v>3824</v>
      </c>
      <c r="AD40" s="2">
        <f>IF(A40=0,"",SUMIF(A22:A33,A6,AF22:AF33) + AD6)</f>
        <v>362</v>
      </c>
      <c r="AE40" s="2">
        <f>IF(A40=0,"",SUMIF(A22:A33,A6,AG22:AG33)+ AE6)</f>
        <v>0</v>
      </c>
      <c r="AF40" s="2">
        <f>IF(A40=0,"",SUMIF(A22:A33,A6,AD22:AD33))</f>
        <v>0</v>
      </c>
      <c r="AG40" s="2">
        <f>IF(A40=0,"",SUMIF(A22:A33,A6,AE22:AE33))</f>
        <v>0</v>
      </c>
      <c r="AH40" s="2"/>
    </row>
    <row r="41" spans="1:34" x14ac:dyDescent="0.5">
      <c r="A41" t="str">
        <f t="shared" si="2"/>
        <v>2016/05/01</v>
      </c>
      <c r="B41" s="2">
        <f>IF(A41=0,"",SUMIF(A22:A33,A7,B22:B33) + B7)</f>
        <v>18608</v>
      </c>
      <c r="C41" s="2">
        <f>IF(A41=0,"",SUMIF(A22:A33,A7,C22:C33) + C7)</f>
        <v>4887</v>
      </c>
      <c r="D41" s="2">
        <f>IF(A41=0,"",SUMIF(A22:A33,A7,D22:D33) + D7)</f>
        <v>0</v>
      </c>
      <c r="E41" s="2">
        <f>IF(A41=0,"",SUMIF(A22:A33,A7,E22:E33) + E7)</f>
        <v>0</v>
      </c>
      <c r="F41" s="2">
        <f>IF(A41=0,"",SUMIF(A22:A33,A7,F22:F33) + F7)</f>
        <v>0</v>
      </c>
      <c r="G41" s="2">
        <f>IF(A41=0,"",SUMIF(A22:A33,A7,G22:G33) + G7)</f>
        <v>808</v>
      </c>
      <c r="H41" s="2">
        <f>IF(A41=0,"",SUMIF(A22:A33,A7,H22:H33) + H7)</f>
        <v>0</v>
      </c>
      <c r="I41" s="2">
        <f>IF(A41=0,"",SUMIF(A22:A33,A7,I22:I33) + I7)</f>
        <v>1288</v>
      </c>
      <c r="J41" s="2">
        <f>IF(A41=0,"",SUMIF(A22:A33,A7,J22:J33) + J7)</f>
        <v>715</v>
      </c>
      <c r="K41" s="2">
        <f>IF(A41=0,"",SUMIF(A22:A33,A7,K22:K33) + K7)</f>
        <v>54</v>
      </c>
      <c r="L41" s="2">
        <f>IF(A41=0,"",SUMIF(A22:A33,A7,L22:L33) + L7)</f>
        <v>0</v>
      </c>
      <c r="M41" s="2">
        <f>IF(A41=0,"",SUMIF(A22:A33,A7,M22:M33) + M7)</f>
        <v>0</v>
      </c>
      <c r="N41" s="2">
        <f>IF(A41=0,"",SUMIF(A22:A33,A7,N22:N33) + N7)</f>
        <v>32</v>
      </c>
      <c r="O41" s="2">
        <f>IF(A41=0,"",SUMIF(A22:A33,A7,O22:O33) + O7)</f>
        <v>130</v>
      </c>
      <c r="P41" s="2">
        <f>IF(A41=0,"",SUMIF(A22:A33,A7,P22:P33) + P7)</f>
        <v>43</v>
      </c>
      <c r="Q41" s="2">
        <f>IF(A41=0,"",SUMIF(A22:A33,A7,Q22:Q33) + Q7)</f>
        <v>0</v>
      </c>
      <c r="R41" s="2">
        <f>IF(A41=0,"",SUMIF(A22:A33,A7,R22:R33) + R7)</f>
        <v>0</v>
      </c>
      <c r="S41" s="2">
        <f>IF(A41=0,"",SUMIF(A22:A33,A7,S22:S33) + S7)</f>
        <v>0</v>
      </c>
      <c r="T41" s="2">
        <f>IF(A41=0,"",SUMIF(A22:A33,A7,T22:T33) + T7)</f>
        <v>0</v>
      </c>
      <c r="U41" s="2">
        <f>IF(A41=0,"",SUMIF(A22:A33,A7,U22:U33) + U7)</f>
        <v>0</v>
      </c>
      <c r="V41" s="2">
        <f>IF(A41=0,"",SUMIF(A22:A33,A7,V22:V33) + V7)</f>
        <v>0</v>
      </c>
      <c r="W41" s="2">
        <f>IF(A41=0,"",SUMIF(A22:A33,A7,W22:W33) + W7)</f>
        <v>0</v>
      </c>
      <c r="X41" s="2">
        <f>IF(A41=0,"",SUMIF(A22:A33,A7,X22:X33) + X7)</f>
        <v>884</v>
      </c>
      <c r="Y41" s="2">
        <f>IF(A41=0,"",SUMIF(A22:A33,A7,Y22:Y33) + Y7)</f>
        <v>0</v>
      </c>
      <c r="Z41" s="2">
        <f>IF(A41=0,"",SUMIF(A22:A33,A7,Z22:Z33) + Z7)</f>
        <v>16</v>
      </c>
      <c r="AA41" s="2">
        <f>IF(A41=0,"",SUMIF(A22:A33,A7,AA22:AA33) + AA7)</f>
        <v>1802</v>
      </c>
      <c r="AB41" s="2">
        <f>IFERROR(IF(A41=0,"",SUMIF(A22:A33,A7,AB22:AB33) + AB7 - AF7) + SUMIF(A22:A33,A7,AD22:AD33),"")</f>
        <v>16042</v>
      </c>
      <c r="AC41" s="2">
        <f>IF(A41=0,"",SUMIF(A22:A33,A7,AC22:AC33) + SUMIF(A22:A33,A7,AE22:AE33) + AF7)</f>
        <v>3297</v>
      </c>
      <c r="AD41" s="2">
        <f>IF(A41=0,"",SUMIF(A22:A33,A7,AF22:AF33) + AD7)</f>
        <v>404</v>
      </c>
      <c r="AE41" s="2">
        <f>IF(A41=0,"",SUMIF(A22:A33,A7,AG22:AG33) + AE7)</f>
        <v>0</v>
      </c>
      <c r="AF41" s="2">
        <f>IF(A41=0,"",SUMIF(A22:A33,A7,AD22:AD33))</f>
        <v>0</v>
      </c>
      <c r="AG41" s="2">
        <f>IF(A41=0,"",SUMIF(A22:A33,A7,AE22:AE33))</f>
        <v>0</v>
      </c>
      <c r="AH41" s="2"/>
    </row>
    <row r="42" spans="1:34" x14ac:dyDescent="0.5">
      <c r="A42" t="str">
        <f t="shared" si="2"/>
        <v>2016/06/01</v>
      </c>
      <c r="B42" s="2">
        <f>IF(A42=0,"",SUMIF(A22:A33,A8,B22:B33) + B8)</f>
        <v>19339</v>
      </c>
      <c r="C42" s="2">
        <f>IF(A42=0,"",SUMIF(A22:A33,A8,C22:C33) + C8)</f>
        <v>5517</v>
      </c>
      <c r="D42" s="2">
        <f>IF(A42=0,"",SUMIF(A22:A33,A8,D22:D33) + D8)</f>
        <v>0</v>
      </c>
      <c r="E42" s="2">
        <f>IF(A42=0,"",SUMIF(A22:A33,A8,E22:E33) + E8)</f>
        <v>0</v>
      </c>
      <c r="F42" s="2">
        <f>IF(A42=0,"",SUMIF(A22:A33,A8,F22:F33) + F8)</f>
        <v>0</v>
      </c>
      <c r="G42" s="2">
        <f>IF(A42=0,"",SUMIF(A22:A33,A8,G22:G33) + G8)</f>
        <v>3885</v>
      </c>
      <c r="H42" s="2">
        <f>IF(A42=0,"",SUMIF(A22:A33,A8,H22:H33) + H8)</f>
        <v>0</v>
      </c>
      <c r="I42" s="2">
        <f>IF(A42=0,"",SUMIF(A22:A33,A8,I22:I33) + I8)</f>
        <v>1173</v>
      </c>
      <c r="J42" s="2">
        <f>IF(A42=0,"",SUMIF(A22:A33,A8,J22:J33) + J8)</f>
        <v>4129</v>
      </c>
      <c r="K42" s="2">
        <f>IF(A42=0,"",SUMIF(A22:A33,A8,K22:K33) + K8)</f>
        <v>16</v>
      </c>
      <c r="L42" s="2">
        <f>IF(A42=0,"",SUMIF(A22:A33,A8,L22:L33) + L8)</f>
        <v>0</v>
      </c>
      <c r="M42" s="2">
        <f>IF(A42=0,"",SUMIF(A22:A33,A8,M22:M33) + M8)</f>
        <v>0</v>
      </c>
      <c r="N42" s="2">
        <f>IF(A42=0,"",SUMIF(A22:A33,A8,N22:N33) + N8)</f>
        <v>0</v>
      </c>
      <c r="O42" s="2">
        <f>IF(A42=0,"",SUMIF(A22:A33,A8,O22:O33) + O8)</f>
        <v>52</v>
      </c>
      <c r="P42" s="2">
        <f>IF(A42=0,"",SUMIF(A22:A33,A8,P22:P33) + P8)</f>
        <v>7</v>
      </c>
      <c r="Q42" s="2">
        <f>IF(A42=0,"",SUMIF(A22:A33,A8,Q22:Q33) + Q8)</f>
        <v>0</v>
      </c>
      <c r="R42" s="2">
        <f>IF(A42=0,"",SUMIF(A22:A33,A8,R22:R33) + R8)</f>
        <v>0</v>
      </c>
      <c r="S42" s="2">
        <f>IF(A42=0,"",SUMIF(A22:A33,A8,S22:S33) + S8)</f>
        <v>0</v>
      </c>
      <c r="T42" s="2">
        <f>IF(A42=0,"",SUMIF(A22:A33,A8,T22:T33) + T8)</f>
        <v>108</v>
      </c>
      <c r="U42" s="2">
        <f>IF(A42=0,"",SUMIF(A22:A33,A8,U22:U33) + U8)</f>
        <v>3</v>
      </c>
      <c r="V42" s="2">
        <f>IF(A42=0,"",SUMIF(A22:A33,A8,V22:V33) + V8)</f>
        <v>0</v>
      </c>
      <c r="W42" s="2">
        <f>IF(A42=0,"",SUMIF(A22:A33,A8,W22:W33) + W8)</f>
        <v>0</v>
      </c>
      <c r="X42" s="2">
        <f>IF(A42=0,"",SUMIF(A22:A33,A8,X22:X33) + X8)</f>
        <v>3935</v>
      </c>
      <c r="Y42" s="2">
        <f>IF(A42=0,"",SUMIF(A22:A33,A8,Y22:Y33) + Y8)</f>
        <v>0</v>
      </c>
      <c r="Z42" s="2">
        <f>IF(A42=0,"",SUMIF(A22:A33,A8,Z22:Z33) + Z8)</f>
        <v>93</v>
      </c>
      <c r="AA42" s="2">
        <f>IF(A42=0,"",SUMIF(A22:A33,A8,AA22:AA33) + AA8)</f>
        <v>74</v>
      </c>
      <c r="AB42" s="2">
        <f>IFERROR(IF(A42=0,"",SUMIF(A22:A33,A8,AB22:AB33) + AB8 - AF8) + SUMIF(A22:A33,A8,AD22:AD33),"")</f>
        <v>13837</v>
      </c>
      <c r="AC42" s="2">
        <f>IF(A42=0,"",SUMIF(A22:A33,A8,AC22:AC33) + SUMIF(A22:A33,A8,AE22:AE33) + AF8)</f>
        <v>5314</v>
      </c>
      <c r="AD42" s="2">
        <f>IF(A42=0,"",SUMIF(A22:A33,A8,AF22:AF33) + AD8)</f>
        <v>414</v>
      </c>
      <c r="AE42" s="2">
        <f>IF(A42=0,"",SUMIF(A22:A33,A8,AG22:AG33) + AE8)</f>
        <v>0</v>
      </c>
      <c r="AF42" s="2">
        <f>IF(A42=0,"",SUMIF(A22:A33,A8,AD22:AD33))</f>
        <v>0</v>
      </c>
      <c r="AG42" s="2">
        <f>IF(A42=0,"",SUMIF(A22:A33,A8,AE22:AE33))</f>
        <v>0</v>
      </c>
      <c r="AH42" s="2"/>
    </row>
    <row r="43" spans="1:34" x14ac:dyDescent="0.5">
      <c r="A43" t="str">
        <f t="shared" si="2"/>
        <v>2016/07/01</v>
      </c>
      <c r="B43" s="2">
        <f>IF(A43=0,"",SUMIF(A22:A33,A9,B22:B33) + B9)</f>
        <v>19151</v>
      </c>
      <c r="C43" s="2">
        <f>IF(A43=0,"",SUMIF(A22:A33,A9,C22:C33) + C9)</f>
        <v>2819</v>
      </c>
      <c r="D43" s="2">
        <f>IF(A43=0,"",SUMIF(A22:A33,A9,D22:D33) + D9)</f>
        <v>0</v>
      </c>
      <c r="E43" s="2">
        <f>IF(A43=0,"",SUMIF(A22:A33,A9,E22:E33) + E9)</f>
        <v>0</v>
      </c>
      <c r="F43" s="2">
        <f>IF(A43=0,"",SUMIF(A22:A33,A9,F22:F33) + F9)</f>
        <v>0</v>
      </c>
      <c r="G43" s="2">
        <f>IF(A43=0,"",SUMIF(A22:A33,A9,G22:G33) + G9)</f>
        <v>1791</v>
      </c>
      <c r="H43" s="2">
        <f>IF(A43=0,"",SUMIF(A22:A33,A9,H22:H33) + H9)</f>
        <v>66</v>
      </c>
      <c r="I43" s="2">
        <f>IF(A43=0,"",SUMIF(A22:A33,A9,I22:I33) + I9)</f>
        <v>1455</v>
      </c>
      <c r="J43" s="2">
        <f>IF(A43=0,"",SUMIF(A22:A33,A9,J22:J33) + J9)</f>
        <v>2386</v>
      </c>
      <c r="K43" s="2">
        <f>IF(A43=0,"",SUMIF(A22:A33,A9,K22:K33) + K9)</f>
        <v>68</v>
      </c>
      <c r="L43" s="2">
        <f>IF(A43=0,"",SUMIF(A22:A33,A9,L22:L33) + L9)</f>
        <v>0</v>
      </c>
      <c r="M43" s="2">
        <f>IF(A43=0,"",SUMIF(A22:A33,A9,M22:M33) + M9)</f>
        <v>0</v>
      </c>
      <c r="N43" s="2">
        <f>IF(A43=0,"",SUMIF(A22:A33,A9,N22:N33) + N9)</f>
        <v>0</v>
      </c>
      <c r="O43" s="2">
        <f>IF(A43=0,"",SUMIF(A22:A33,A9,O22:O33) + O9)</f>
        <v>23</v>
      </c>
      <c r="P43" s="2">
        <f>IF(A43=0,"",SUMIF(A22:A33,A9,P22:P33) + P9)</f>
        <v>4</v>
      </c>
      <c r="Q43" s="2">
        <f>IF(A43=0,"",SUMIF(A22:A33,A9,Q22:Q33) + Q9)</f>
        <v>0</v>
      </c>
      <c r="R43" s="2">
        <f>IF(A43=0,"",SUMIF(A22:A33,A9,R22:R33) + R9)</f>
        <v>0</v>
      </c>
      <c r="S43" s="2">
        <f>IF(A43=0,"",SUMIF(A22:A33,A9,S22:S33) + S9)</f>
        <v>0</v>
      </c>
      <c r="T43" s="2">
        <f>IF(A43=0,"",SUMIF(A22:A33,A9,T22:T33) + T9)</f>
        <v>131</v>
      </c>
      <c r="U43" s="2">
        <f>IF(A43=0,"",SUMIF(A22:A33,A9,U22:U33) + U9)</f>
        <v>26</v>
      </c>
      <c r="V43" s="2">
        <f>IF(A43=0,"",SUMIF(A22:A33,A9,V22:V33) + V9)</f>
        <v>0</v>
      </c>
      <c r="W43" s="2">
        <f>IF(A43=0,"",SUMIF(A22:A33,A9,W22:W33) + W9)</f>
        <v>0</v>
      </c>
      <c r="X43" s="2">
        <f>IF(A43=0,"",SUMIF(A22:A33,A9,X22:X33) + X9)</f>
        <v>1590</v>
      </c>
      <c r="Y43" s="2">
        <f>IF(A43=0,"",SUMIF(A22:A33,A9,Y22:Y33) + Y9)</f>
        <v>0</v>
      </c>
      <c r="Z43" s="2">
        <f>IF(A43=0,"",SUMIF(A22:A33,A9,Z22:Z33) + Z9)</f>
        <v>73</v>
      </c>
      <c r="AA43" s="2">
        <f>IF(A43=0,"",SUMIF(A22:A33,A9,AA22:AA33) + AA9)</f>
        <v>37</v>
      </c>
      <c r="AB43" s="2">
        <f>IFERROR(IF(A43=0,"",SUMIF(A22:A33,A9,AB22:AB33) + AB9 - AF9) + SUMIF(A22:A33,A9,AD22:AD33),"")</f>
        <v>13566</v>
      </c>
      <c r="AC43" s="2">
        <f>IF(A43=0,"",SUMIF(A22:A33,A9,AC22:AC33) + SUMIF(A22:A33,A9,AE22:AE33) + AF9)</f>
        <v>4468</v>
      </c>
      <c r="AD43" s="2">
        <f>IF(A43=0,"",SUMIF(A22:A33,A9,AF22:AF33) + AD9)</f>
        <v>415</v>
      </c>
      <c r="AE43" s="2">
        <f>IF(A43=0,"",SUMIF(A22:A33,A9,AG22:AG33) + AE9)</f>
        <v>0</v>
      </c>
      <c r="AF43" s="2">
        <f>IF(A43=0,"",SUMIF(A22:A33,A9,AD22:AD33))</f>
        <v>0</v>
      </c>
      <c r="AG43" s="2">
        <f>IF(A43=0,"",SUMIF(A22:A33,A9,AE22:AE33))</f>
        <v>0</v>
      </c>
      <c r="AH43" s="2"/>
    </row>
    <row r="44" spans="1:34" x14ac:dyDescent="0.5">
      <c r="A44" t="str">
        <f t="shared" si="2"/>
        <v>2016/08/01</v>
      </c>
      <c r="B44" s="2">
        <f>IF(A44=0,"",SUMIF(A22:A33,A10,B22:B33) + B10)</f>
        <v>18034</v>
      </c>
      <c r="C44" s="2">
        <f>IF(A44=0,"",SUMIF(A22:A33,A10,C22:C33) + C10)</f>
        <v>1672</v>
      </c>
      <c r="D44" s="2">
        <f>IF(A44=0,"",SUMIF(A22:A33,A10,D22:D33) + D10)</f>
        <v>0</v>
      </c>
      <c r="E44" s="2">
        <f>IF(A44=0,"",SUMIF(A22:A33,A10,E22:E33) + E10)</f>
        <v>0</v>
      </c>
      <c r="F44" s="2">
        <f>IF(A44=0,"",SUMIF(A22:A33,A10,F22:F33) + F10)</f>
        <v>0</v>
      </c>
      <c r="G44" s="2">
        <f>IF(A44=0,"",SUMIF(A22:A33,A10,G22:G33) + G10)</f>
        <v>624</v>
      </c>
      <c r="H44" s="2">
        <f>IF(A44=0,"",SUMIF(A22:A33,A10,H22:H33) + H10)</f>
        <v>21</v>
      </c>
      <c r="I44" s="2">
        <f>IF(A44=0,"",SUMIF(A22:A33,A10,I22:I33) + I10)</f>
        <v>1697</v>
      </c>
      <c r="J44" s="2">
        <f>IF(A44=0,"",SUMIF(A22:A33,A10,J22:J33) + J10)</f>
        <v>1145</v>
      </c>
      <c r="K44" s="2">
        <f>IF(A44=0,"",SUMIF(A22:A33,A10,K22:K33) + K10)</f>
        <v>0</v>
      </c>
      <c r="L44" s="2">
        <f>IF(A44=0,"",SUMIF(A22:A33,A10,L22:L33) + L10)</f>
        <v>0</v>
      </c>
      <c r="M44" s="2">
        <f>IF(A44=0,"",SUMIF(A22:A33,A10,M22:M33) + M10)</f>
        <v>0</v>
      </c>
      <c r="N44" s="2">
        <f>IF(A44=0,"",SUMIF(A22:A33,A10,N22:N33) + N10)</f>
        <v>0</v>
      </c>
      <c r="O44" s="2">
        <f>IF(A44=0,"",SUMIF(A22:A33,A10,O22:O33) + O10)</f>
        <v>65</v>
      </c>
      <c r="P44" s="2">
        <f>IF(A44=0,"",SUMIF(A22:A33,A10,P22:P33) + P10)</f>
        <v>2</v>
      </c>
      <c r="Q44" s="2">
        <f>IF(A44=0,"",SUMIF(A22:A33,A10,Q22:Q33) + Q10)</f>
        <v>0</v>
      </c>
      <c r="R44" s="2">
        <f>IF(A44=0,"",SUMIF(A22:A33,A10,R22:R33) + R10)</f>
        <v>0</v>
      </c>
      <c r="S44" s="2">
        <f>IF(A44=0,"",SUMIF(A22:A33,A10,S22:S33) + S10)</f>
        <v>0</v>
      </c>
      <c r="T44" s="2">
        <f>IF(A44=0,"",SUMIF(A22:A33,A10,T22:T33) + T10)</f>
        <v>172</v>
      </c>
      <c r="U44" s="2">
        <f>IF(A44=0,"",SUMIF(A22:A33,A10,U22:U33) + U10)</f>
        <v>0</v>
      </c>
      <c r="V44" s="2">
        <f>IF(A44=0,"",SUMIF(A22:A33,A10,V22:V33) + V10)</f>
        <v>0</v>
      </c>
      <c r="W44" s="2">
        <f>IF(A44=0,"",SUMIF(A22:A33,A10,W22:W33) + W10)</f>
        <v>0</v>
      </c>
      <c r="X44" s="2">
        <f>IF(A44=0,"",SUMIF(A22:A33,A10,X22:X33) + X10)</f>
        <v>638</v>
      </c>
      <c r="Y44" s="2">
        <f>IF(A44=0,"",SUMIF(A22:A33,A10,Y22:Y33) + Y10)</f>
        <v>0</v>
      </c>
      <c r="Z44" s="2">
        <f>IF(A44=0,"",SUMIF(A22:A33,A10,Z22:Z33) + Z10)</f>
        <v>203</v>
      </c>
      <c r="AA44" s="2">
        <f>IF(A44=0,"",SUMIF(A22:A33,A10,AA22:AA33) + AA10)</f>
        <v>68</v>
      </c>
      <c r="AB44" s="2">
        <f>IFERROR(IF(A44=0,"",SUMIF(A22:A33,A10,AB22:AB33) + AB10 - AF10) + SUMIF(A22:A33,A10,AD22:AD33),"")</f>
        <v>13377</v>
      </c>
      <c r="AC44" s="2">
        <f>IF(A44=0,"",SUMIF(A22:A33,A10,AC22:AC33) + SUMIF(A22:A33,A10,AE22:AE33) + AF10)</f>
        <v>2984</v>
      </c>
      <c r="AD44" s="2">
        <f>IF(A44=0,"",SUMIF(A22:A33,A10,AF22:AF33) + AD10)</f>
        <v>373</v>
      </c>
      <c r="AE44" s="2">
        <f>IF(A44=0,"",SUMIF(A22:A33,A10,AG22:AG33) + AE10)</f>
        <v>0</v>
      </c>
      <c r="AF44" s="2">
        <f>IF(A44=0,"",SUMIF(A22:A33,A10,AD22:AD33))</f>
        <v>0</v>
      </c>
      <c r="AG44" s="2">
        <f>IF(A44=0,"",SUMIF(A22:A33,A10,AE22:AE33))</f>
        <v>0</v>
      </c>
      <c r="AH44" s="2"/>
    </row>
    <row r="45" spans="1:34" x14ac:dyDescent="0.5">
      <c r="A45" t="str">
        <f t="shared" si="2"/>
        <v>2016/09/01</v>
      </c>
      <c r="B45" s="2">
        <f>IF(A45=0,"",SUMIF(A22:A33,A11,B22:B33) + B11)</f>
        <v>16361</v>
      </c>
      <c r="C45" s="2">
        <f>IF(A45=0,"",SUMIF(A22:A33,A11,C22:C33) + C11)</f>
        <v>316</v>
      </c>
      <c r="D45" s="2">
        <f>IF(A45=0,"",SUMIF(A22:A33,A11,D22:D33) + D11)</f>
        <v>0</v>
      </c>
      <c r="E45" s="2">
        <f>IF(A45=0,"",SUMIF(A22:A33,A11,E22:E33) + E11)</f>
        <v>0</v>
      </c>
      <c r="F45" s="2">
        <f>IF(A45=0,"",SUMIF(A22:A33,A11,F22:F33) + F11)</f>
        <v>0</v>
      </c>
      <c r="G45" s="2">
        <f>IF(A45=0,"",SUMIF(A22:A33,A11,G22:G33) + G11)</f>
        <v>1544</v>
      </c>
      <c r="H45" s="2">
        <f>IF(A45=0,"",SUMIF(A22:A33,A11,H22:H33) + H11)</f>
        <v>130</v>
      </c>
      <c r="I45" s="2">
        <f>IF(A45=0,"",SUMIF(A22:A33,A11,I22:I33) + I11)</f>
        <v>1315</v>
      </c>
      <c r="J45" s="2">
        <f>IF(A45=0,"",SUMIF(A22:A33,A11,J22:J33) + J11)</f>
        <v>315</v>
      </c>
      <c r="K45" s="2">
        <f>IF(A45=0,"",SUMIF(A22:A33,A11,K22:K33) + K11)</f>
        <v>129</v>
      </c>
      <c r="L45" s="2">
        <f>IF(A45=0,"",SUMIF(A22:A33,A11,L22:L33) + L11)</f>
        <v>0</v>
      </c>
      <c r="M45" s="2">
        <f>IF(A45=0,"",SUMIF(A22:A33,A11,M22:M33) + M11)</f>
        <v>0</v>
      </c>
      <c r="N45" s="2">
        <f>IF(A45=0,"",SUMIF(A22:A33,A11,N22:N33) + N11)</f>
        <v>0</v>
      </c>
      <c r="O45" s="2">
        <f>IF(A45=0,"",SUMIF(A22:A33,A11,O22:O33) + O11)</f>
        <v>34</v>
      </c>
      <c r="P45" s="2">
        <f>IF(A45=0,"",SUMIF(A22:A33,A11,P22:P33) + P11)</f>
        <v>10</v>
      </c>
      <c r="Q45" s="2">
        <f>IF(A45=0,"",SUMIF(A22:A33,A11,Q22:Q33) + Q11)</f>
        <v>0</v>
      </c>
      <c r="R45" s="2">
        <f>IF(A45=0,"",SUMIF(A22:A33,A11,R22:R33) + R11)</f>
        <v>225</v>
      </c>
      <c r="S45" s="2">
        <f>IF(A45=0,"",SUMIF(A22:A33,A11,S22:S33) + S11)</f>
        <v>0</v>
      </c>
      <c r="T45" s="2">
        <f>IF(A45=0,"",SUMIF(A22:A33,A11,T22:T33) + T11)</f>
        <v>0</v>
      </c>
      <c r="U45" s="2">
        <f>IF(A45=0,"",SUMIF(A22:A33,A11,U22:U33) + U11)</f>
        <v>0</v>
      </c>
      <c r="V45" s="2">
        <f>IF(A45=0,"",SUMIF(A22:A33,A11,V22:V33) + V11)</f>
        <v>0</v>
      </c>
      <c r="W45" s="2">
        <f>IF(A45=0,"",SUMIF(A22:A33,A11,W22:W33) + W11)</f>
        <v>0</v>
      </c>
      <c r="X45" s="2">
        <f>IF(A45=0,"",SUMIF(A22:A33,A11,X22:X33) + X11)</f>
        <v>1593</v>
      </c>
      <c r="Y45" s="2">
        <f>IF(A45=0,"",SUMIF(A22:A33,A11,Y22:Y33) + Y11)</f>
        <v>0</v>
      </c>
      <c r="Z45" s="2">
        <f>IF(A45=0,"",SUMIF(A22:A33,A11,Z22:Z33) + Z11)</f>
        <v>317</v>
      </c>
      <c r="AA45" s="2">
        <f>IF(A45=0,"",SUMIF(A22:A33,A11,AA22:AA33) + AA11)</f>
        <v>26</v>
      </c>
      <c r="AB45" s="2">
        <f>IFERROR(IF(A45=0,"",SUMIF(A22:A33,A11,AB22:AB33) + AB11 - AF11) + SUMIF(A22:A33,A11,AD22:AD33),"")</f>
        <v>12096</v>
      </c>
      <c r="AC45" s="2">
        <f>IF(A45=0,"",SUMIF(A22:A33,A11,AC22:AC33) + SUMIF(A22:A33,A11,AE22:AE33) + AF11)</f>
        <v>2291</v>
      </c>
      <c r="AD45" s="2">
        <f>IF(A45=0,"",SUMIF(A22:A33,A11,AF22:AF33) + AD11)</f>
        <v>401</v>
      </c>
      <c r="AE45" s="2">
        <f>IF(A45=0,"",SUMIF(A22:A33,A11,AG22:AG33) + AE11)</f>
        <v>0</v>
      </c>
      <c r="AF45" s="2">
        <f>IF(A45=0,"",SUMIF(A22:A33,A11,AD22:AD33))</f>
        <v>0</v>
      </c>
      <c r="AG45" s="2">
        <f>IF(A45=0,"",SUMIF(A22:A33,A11,AE22:AE33))</f>
        <v>0</v>
      </c>
      <c r="AH45" s="2"/>
    </row>
    <row r="46" spans="1:34" x14ac:dyDescent="0.5">
      <c r="A46" t="str">
        <f t="shared" si="2"/>
        <v>2016/10/01</v>
      </c>
      <c r="B46" s="2">
        <f>IF(A46=0,"",SUMIF(A22:A33,A12,B22:B33) + B12)</f>
        <v>14387</v>
      </c>
      <c r="C46" s="2">
        <f>IF(A46=0,"",SUMIF(A22:A33,A12,C22:C33) + C12)</f>
        <v>4</v>
      </c>
      <c r="D46" s="2">
        <f>IF(A46=0,"",SUMIF(A22:A33,A12,D22:D33) + D12)</f>
        <v>0</v>
      </c>
      <c r="E46" s="2">
        <f>IF(A46=0,"",SUMIF(A22:A33,A12,E22:E33) + E12)</f>
        <v>0</v>
      </c>
      <c r="F46" s="2">
        <f>IF(A46=0,"",SUMIF(A22:A33,A12,F22:F33) + F12)</f>
        <v>0</v>
      </c>
      <c r="G46" s="2">
        <f>IF(A46=0,"",SUMIF(A22:A33,A12,G22:G33) + G12)</f>
        <v>1582</v>
      </c>
      <c r="H46" s="2">
        <f>IF(A46=0,"",SUMIF(A22:A33,A12,H22:H33) + H12)</f>
        <v>446</v>
      </c>
      <c r="I46" s="2">
        <f>IF(A46=0,"",SUMIF(A22:A33,A12,I22:I33) + I12)</f>
        <v>526</v>
      </c>
      <c r="J46" s="2">
        <f>IF(A46=0,"",SUMIF(A22:A33,A12,J22:J33) + J12)</f>
        <v>1347</v>
      </c>
      <c r="K46" s="2">
        <f>IF(A46=0,"",SUMIF(A22:A33,A12,K22:K33) + K12)</f>
        <v>104</v>
      </c>
      <c r="L46" s="2">
        <f>IF(A46=0,"",SUMIF(A22:A33,A12,L22:L33) + L12)</f>
        <v>0</v>
      </c>
      <c r="M46" s="2">
        <f>IF(A46=0,"",SUMIF(A22:A33,A12,M22:M33) + M12)</f>
        <v>0</v>
      </c>
      <c r="N46" s="2">
        <f>IF(A46=0,"",SUMIF(A22:A33,A12,N22:N33) + N12)</f>
        <v>0</v>
      </c>
      <c r="O46" s="2">
        <f>IF(A46=0,"",SUMIF(A22:A33,A12,O22:O33) + O12)</f>
        <v>50</v>
      </c>
      <c r="P46" s="2">
        <f>IF(A46=0,"",SUMIF(A22:A33,A12,P22:P33) + P12)</f>
        <v>1</v>
      </c>
      <c r="Q46" s="2">
        <f>IF(A46=0,"",SUMIF(A22:A33,A12,Q22:Q33) + Q12)</f>
        <v>0</v>
      </c>
      <c r="R46" s="2">
        <f>IF(A46=0,"",SUMIF(A22:A33,A12,R22:R33) + R12)</f>
        <v>154</v>
      </c>
      <c r="S46" s="2">
        <f>IF(A46=0,"",SUMIF(A22:A33,A12,S22:S33) + S12)</f>
        <v>0</v>
      </c>
      <c r="T46" s="2">
        <f>IF(A46=0,"",SUMIF(A22:A33,A12,T22:T33) + T12)</f>
        <v>32</v>
      </c>
      <c r="U46" s="2">
        <f>IF(A46=0,"",SUMIF(A22:A33,A12,U22:U33) + U12)</f>
        <v>4</v>
      </c>
      <c r="V46" s="2">
        <f>IF(A46=0,"",SUMIF(A22:A33,A12,V22:V33) + V12)</f>
        <v>0</v>
      </c>
      <c r="W46" s="2">
        <f>IF(A46=0,"",SUMIF(A22:A33,A12,W22:W33) + W12)</f>
        <v>0</v>
      </c>
      <c r="X46" s="2">
        <f>IF(A46=0,"",SUMIF(A22:A33,A12,X22:X33) + X12)</f>
        <v>1656</v>
      </c>
      <c r="Y46" s="2">
        <f>IF(A46=0,"",SUMIF(A22:A33,A12,Y22:Y33) + Y12)</f>
        <v>0</v>
      </c>
      <c r="Z46" s="2">
        <f>IF(A46=0,"",SUMIF(A22:A33,A12,Z22:Z33) + Z12)</f>
        <v>102</v>
      </c>
      <c r="AA46" s="2">
        <f>IF(A46=0,"",SUMIF(A22:A33,A12,AA22:AA33) + AA12)</f>
        <v>21</v>
      </c>
      <c r="AB46" s="2">
        <f>IFERROR(IF(A46=0,"",SUMIF(A22:A33,A12,AB22:AB33) + AB12 - AF12) + SUMIF(A22:A33,A12,AD22:AD33),"")</f>
        <v>10498</v>
      </c>
      <c r="AC46" s="2">
        <f>IF(A46=0,"",SUMIF(A22:A33,A12,AC22:AC33) + SUMIF(A22:A33,A12,AE22:AE33) + AF12)</f>
        <v>1924</v>
      </c>
      <c r="AD46" s="2">
        <f>IF(A46=0,"",SUMIF(A22:A33,A12,AF22:AF33) + AD12)</f>
        <v>153</v>
      </c>
      <c r="AE46" s="2">
        <f>IF(A46=0,"",SUMIF(A22:A33,A12,AG22:AG33) + AE12)</f>
        <v>0</v>
      </c>
      <c r="AF46" s="2">
        <f>IF(A46=0,"",SUMIF(A22:A33,A12,AD22:AD33))</f>
        <v>0</v>
      </c>
      <c r="AG46" s="2">
        <f>IF(A46=0,"",SUMIF(A22:A33,A12,AE22:AE33))</f>
        <v>0</v>
      </c>
      <c r="AH46" s="2"/>
    </row>
    <row r="47" spans="1:34" x14ac:dyDescent="0.5">
      <c r="A47" t="str">
        <f t="shared" si="2"/>
        <v>2016/11/01</v>
      </c>
      <c r="B47" s="2">
        <f>IF(A47=0,"",SUMIF(A22:A33,A13,B22:B33) + B13)</f>
        <v>12422</v>
      </c>
      <c r="C47" s="2">
        <f>IF(A47=0,"",SUMIF(A22:A33,A13,C22:C33) + C13)</f>
        <v>171</v>
      </c>
      <c r="D47" s="2">
        <f>IF(A47=0,"",SUMIF(A22:A33,A13,D22:D33) + D13)</f>
        <v>0</v>
      </c>
      <c r="E47" s="2">
        <f>IF(A47=0,"",SUMIF(A22:A33,A13,E22:E33) + E13)</f>
        <v>0</v>
      </c>
      <c r="F47" s="2">
        <f>IF(A47=0,"",SUMIF(A22:A33,A13,F22:F33) + F13)</f>
        <v>0</v>
      </c>
      <c r="G47" s="2">
        <f>IF(A47=0,"",SUMIF(A22:A33,A13,G22:G33) + G13)</f>
        <v>7260</v>
      </c>
      <c r="H47" s="2">
        <f>IF(A47=0,"",SUMIF(A22:A33,A13,H22:H33) + H13)</f>
        <v>278</v>
      </c>
      <c r="I47" s="2">
        <f>IF(A47=0,"",SUMIF(A22:A33,A13,I22:I33) + I13)</f>
        <v>291</v>
      </c>
      <c r="J47" s="2">
        <f>IF(A47=0,"",SUMIF(A22:A33,A13,J22:J33) + J13)</f>
        <v>1712</v>
      </c>
      <c r="K47" s="2">
        <f>IF(A47=0,"",SUMIF(A22:A33,A13,K22:K33) + K13)</f>
        <v>4</v>
      </c>
      <c r="L47" s="2">
        <f>IF(A47=0,"",SUMIF(A22:A33,A13,L22:L33) + L13)</f>
        <v>0</v>
      </c>
      <c r="M47" s="2">
        <f>IF(A47=0,"",SUMIF(A22:A33,A13,M22:M33) + M13)</f>
        <v>0</v>
      </c>
      <c r="N47" s="2">
        <f>IF(A47=0,"",SUMIF(A22:A33,A13,N22:N33) + N13)</f>
        <v>0</v>
      </c>
      <c r="O47" s="2">
        <f>IF(A47=0,"",SUMIF(A22:A33,A13,O22:O33) + O13)</f>
        <v>83</v>
      </c>
      <c r="P47" s="2">
        <f>IF(A47=0,"",SUMIF(A22:A33,A13,P22:P33) + P13)</f>
        <v>10</v>
      </c>
      <c r="Q47" s="2">
        <f>IF(A47=0,"",SUMIF(A22:A33,A13,Q22:Q33) + Q13)</f>
        <v>0</v>
      </c>
      <c r="R47" s="2">
        <f>IF(A47=0,"",SUMIF(A22:A33,A13,R22:R33) + R13)</f>
        <v>0</v>
      </c>
      <c r="S47" s="2">
        <f>IF(A47=0,"",SUMIF(A22:A33,A13,S22:S33) + S13)</f>
        <v>0</v>
      </c>
      <c r="T47" s="2">
        <f>IF(A47=0,"",SUMIF(A22:A33,A13,T22:T33) + T13)</f>
        <v>0</v>
      </c>
      <c r="U47" s="2">
        <f>IF(A47=0,"",SUMIF(A22:A33,A13,U22:U33) + U13)</f>
        <v>3</v>
      </c>
      <c r="V47" s="2">
        <f>IF(A47=0,"",SUMIF(A22:A33,A13,V22:V33) + V13)</f>
        <v>0</v>
      </c>
      <c r="W47" s="2">
        <f>IF(A47=0,"",SUMIF(A22:A33,A13,W22:W33) + W13)</f>
        <v>0</v>
      </c>
      <c r="X47" s="2">
        <f>IF(A47=0,"",SUMIF(A22:A33,A13,X22:X33) + X13)</f>
        <v>7303</v>
      </c>
      <c r="Y47" s="2">
        <f>IF(A47=0,"",SUMIF(A22:A33,A13,Y22:Y33) + Y13)</f>
        <v>0</v>
      </c>
      <c r="Z47" s="2">
        <f>IF(A47=0,"",SUMIF(A22:A33,A13,Z22:Z33) + Z13)</f>
        <v>78</v>
      </c>
      <c r="AA47" s="2">
        <f>IF(A47=0,"",SUMIF(A22:A33,A13,AA22:AA33) + AA13)</f>
        <v>132</v>
      </c>
      <c r="AB47" s="2">
        <f>IFERROR(IF(A47=0,"",SUMIF(A22:A33,A13,AB22:AB33) + AB13 - AF13) + SUMIF(A22:A33,A13,AD22:AD33),"")</f>
        <v>3468</v>
      </c>
      <c r="AC47" s="2">
        <f>IF(A47=0,"",SUMIF(A22:A33,A13,AC22:AC33) + SUMIF(A22:A33,A13,AE22:AE33) + AF13)</f>
        <v>7047</v>
      </c>
      <c r="AD47" s="2">
        <f>IF(A47=0,"",SUMIF(A22:A33,A13,AF22:AF33) + AD13)</f>
        <v>0</v>
      </c>
      <c r="AE47" s="2">
        <f>IF(A47=0,"",SUMIF(A22:A33,A13,AG22:AG33) + AE13)</f>
        <v>0</v>
      </c>
      <c r="AF47" s="2">
        <f>IF(A47=0,"",SUMIF(A22:A33,A13,AD22:AD33))</f>
        <v>0</v>
      </c>
      <c r="AG47" s="2">
        <f>IF(A47=0,"",SUMIF(A22:A33,A13,AE22:AE33))</f>
        <v>0</v>
      </c>
      <c r="AH47" s="2"/>
    </row>
    <row r="48" spans="1:34" x14ac:dyDescent="0.5">
      <c r="A48" t="str">
        <f t="shared" si="2"/>
        <v>2016/12/01</v>
      </c>
      <c r="B48" s="2">
        <f>IF(A48=0,"",SUMIF(A22:A33,A14,B22:B33) + B14)</f>
        <v>10515</v>
      </c>
      <c r="C48" s="2">
        <f>IF(A48=0,"",SUMIF(A22:A33,A14,C22:C33) + C14)</f>
        <v>31</v>
      </c>
      <c r="D48" s="2">
        <f>IF(A48=0,"",SUMIF(A22:A33,A14,D22:D33) + D14)</f>
        <v>0</v>
      </c>
      <c r="E48" s="2">
        <f>IF(A48=0,"",SUMIF(A22:A33,A14,E22:E33) + E14)</f>
        <v>0</v>
      </c>
      <c r="F48" s="2">
        <f>IF(A48=0,"",SUMIF(A22:A33,A14,F22:F33) + F14)</f>
        <v>0</v>
      </c>
      <c r="G48" s="2">
        <f>IF(A48=0,"",SUMIF(A22:A33,A14,G22:G33) + G14)</f>
        <v>225</v>
      </c>
      <c r="H48" s="2">
        <f>IF(A48=0,"",SUMIF(A22:A33,A14,H22:H33) + H14)</f>
        <v>126</v>
      </c>
      <c r="I48" s="2">
        <f>IF(A48=0,"",SUMIF(A22:A33,A14,I22:I33) + I14)</f>
        <v>185</v>
      </c>
      <c r="J48" s="2">
        <f>IF(A48=0,"",SUMIF(A22:A33,A14,J22:J33) + J14)</f>
        <v>2805</v>
      </c>
      <c r="K48" s="2">
        <f>IF(A48=0,"",SUMIF(A22:A33,A14,K22:K33) + K14)</f>
        <v>3</v>
      </c>
      <c r="L48" s="2">
        <f>IF(A48=0,"",SUMIF(A22:A33,A14,L22:L33) + L14)</f>
        <v>0</v>
      </c>
      <c r="M48" s="2">
        <f>IF(A48=0,"",SUMIF(A22:A33,A14,M22:M33) + M14)</f>
        <v>0</v>
      </c>
      <c r="N48" s="2">
        <f>IF(A48=0,"",SUMIF(A22:A33,A14,N22:N33) + N14)</f>
        <v>0</v>
      </c>
      <c r="O48" s="2">
        <f>IF(A48=0,"",SUMIF(A22:A33,A14,O22:O33) + O14)</f>
        <v>34</v>
      </c>
      <c r="P48" s="2">
        <f>IF(A48=0,"",SUMIF(A22:A33,A14,P22:P33) + P14)</f>
        <v>3</v>
      </c>
      <c r="Q48" s="2">
        <f>IF(A48=0,"",SUMIF(A22:A33,A14,Q22:Q33) + Q14)</f>
        <v>0</v>
      </c>
      <c r="R48" s="2">
        <f>IF(A48=0,"",SUMIF(A22:A33,A14,R22:R33) + R14)</f>
        <v>0</v>
      </c>
      <c r="S48" s="2">
        <f>IF(A48=0,"",SUMIF(A22:A33,A14,S22:S33) + S14)</f>
        <v>0</v>
      </c>
      <c r="T48" s="2">
        <f>IF(A48=0,"",SUMIF(A22:A33,A14,T22:T33) + T14)</f>
        <v>0</v>
      </c>
      <c r="U48" s="2">
        <f>IF(A48=0,"",SUMIF(A22:A33,A14,U22:U33) + U14)</f>
        <v>0</v>
      </c>
      <c r="V48" s="2">
        <f>IF(A48=0,"",SUMIF(A22:A33,A14,V22:V33) + V14)</f>
        <v>0</v>
      </c>
      <c r="W48" s="2">
        <f>IF(A48=0,"",SUMIF(A22:A33,A14,W22:W33) + W14)</f>
        <v>0</v>
      </c>
      <c r="X48" s="2">
        <f>IF(A48=0,"",SUMIF(A22:A33,A14,X22:X33) + X14)</f>
        <v>136</v>
      </c>
      <c r="Y48" s="2">
        <f>IF(A48=0,"",SUMIF(A22:A33,A14,Y22:Y33) + Y14)</f>
        <v>0</v>
      </c>
      <c r="Z48" s="2">
        <f>IF(A48=0,"",SUMIF(A22:A33,A14,Z22:Z33) + Z14)</f>
        <v>98</v>
      </c>
      <c r="AA48" s="2">
        <f>IF(A48=0,"",SUMIF(A22:A33,A14,AA22:AA33) + AA14)</f>
        <v>11</v>
      </c>
      <c r="AB48" s="2">
        <f>IFERROR(IF(A48=0,"",SUMIF(A22:A33,A14,AB22:AB33) + AB14 - AF14) + SUMIF(A22:A33,A14,AD22:AD33),"")</f>
        <v>3272</v>
      </c>
      <c r="AC48" s="2">
        <f>IF(A48=0,"",SUMIF(A22:A33,A14,AC22:AC33) + SUMIF(A22:A33,A14,AE22:AE33) + AF14)</f>
        <v>4350</v>
      </c>
      <c r="AD48" s="2">
        <f>IF(A48=0,"",SUMIF(A22:A33,A14,AF22:AF33) + AD14)</f>
        <v>0</v>
      </c>
      <c r="AE48" s="2">
        <f>IF(A48=0,"",SUMIF(A22:A33,A14,AG22:AG33) + AE14)</f>
        <v>0</v>
      </c>
      <c r="AF48" s="2">
        <f>IF(A48=0,"",SUMIF(A22:A33,A14,AD22:AD33))</f>
        <v>0</v>
      </c>
      <c r="AG48" s="2">
        <f>IF(A48=0,"",SUMIF(A22:A33,A14,AE22:AE33))</f>
        <v>0</v>
      </c>
      <c r="AH48" s="2"/>
    </row>
    <row r="49" spans="1:34" x14ac:dyDescent="0.5">
      <c r="A49" t="str">
        <f t="shared" si="2"/>
        <v>2017/01/01</v>
      </c>
      <c r="B49" s="2">
        <f>IF(A49=0,"",SUMIF(A22:A33,A15,B22:B33) + B15)</f>
        <v>7622</v>
      </c>
      <c r="C49" s="2">
        <f>IF(A49=0,"",SUMIF(A22:A33,A15,C22:C33) + C15)</f>
        <v>34</v>
      </c>
      <c r="D49" s="2">
        <f>IF(A49=0,"",SUMIF(A22:A33,A15,D22:D33) + D15)</f>
        <v>0</v>
      </c>
      <c r="E49" s="2">
        <f>IF(A49=0,"",SUMIF(A22:A33,A15,E22:E33) + E15)</f>
        <v>0</v>
      </c>
      <c r="F49" s="2">
        <f>IF(A49=0,"",SUMIF(A22:A33,A15,F22:F33) + F15)</f>
        <v>0</v>
      </c>
      <c r="G49" s="2">
        <f>IF(A49=0,"",SUMIF(A22:A33,A15,G22:G33) + G15)</f>
        <v>451</v>
      </c>
      <c r="H49" s="2">
        <f>IF(A49=0,"",SUMIF(A22:A33,A15,H22:H33) + H15)</f>
        <v>320</v>
      </c>
      <c r="I49" s="2">
        <f>IF(A49=0,"",SUMIF(A22:A33,A15,I22:I33) + I15)</f>
        <v>424</v>
      </c>
      <c r="J49" s="2">
        <f>IF(A49=0,"",SUMIF(A22:A33,A15,J22:J33) + J15)</f>
        <v>3298</v>
      </c>
      <c r="K49" s="2">
        <f>IF(A49=0,"",SUMIF(A22:A33,A15,K22:K33) + K15)</f>
        <v>0</v>
      </c>
      <c r="L49" s="2">
        <f>IF(A49=0,"",SUMIF(A22:A33,A15,L22:L33) + L15)</f>
        <v>0</v>
      </c>
      <c r="M49" s="2">
        <f>IF(A49=0,"",SUMIF(A22:A33,A15,M22:M33) + M15)</f>
        <v>0</v>
      </c>
      <c r="N49" s="2">
        <f>IF(A49=0,"",SUMIF(A22:A33,A15,N22:N33) + N15)</f>
        <v>0</v>
      </c>
      <c r="O49" s="2">
        <f>IF(A49=0,"",SUMIF(A22:A33,A15,O22:O33) + O15)</f>
        <v>3</v>
      </c>
      <c r="P49" s="2">
        <f>IF(A49=0,"",SUMIF(A22:A33,A15,P22:P33) + P15)</f>
        <v>0</v>
      </c>
      <c r="Q49" s="2">
        <f>IF(A49=0,"",SUMIF(A22:A33,A15,Q22:Q33) + Q15)</f>
        <v>0</v>
      </c>
      <c r="R49" s="2">
        <f>IF(A49=0,"",SUMIF(A22:A33,A15,R22:R33) + R15)</f>
        <v>0</v>
      </c>
      <c r="S49" s="2">
        <f>IF(A49=0,"",SUMIF(A22:A33,A15,S22:S33) + S15)</f>
        <v>0</v>
      </c>
      <c r="T49" s="2">
        <f>IF(A49=0,"",SUMIF(A22:A33,A15,T22:T33) + T15)</f>
        <v>0</v>
      </c>
      <c r="U49" s="2">
        <f>IF(A49=0,"",SUMIF(A22:A33,A15,U22:U33) + U15)</f>
        <v>0</v>
      </c>
      <c r="V49" s="2">
        <f>IF(A49=0,"",SUMIF(A22:A33,A15,V22:V33) + V15)</f>
        <v>0</v>
      </c>
      <c r="W49" s="2">
        <f>IF(A49=0,"",SUMIF(A22:A33,A15,W22:W33) + W15)</f>
        <v>0</v>
      </c>
      <c r="X49" s="2">
        <f>IF(A49=0,"",SUMIF(A22:A33,A15,X22:X33) + X15)</f>
        <v>236</v>
      </c>
      <c r="Y49" s="2">
        <f>IF(A49=0,"",SUMIF(A22:A33,A15,Y22:Y33) + Y15)</f>
        <v>0</v>
      </c>
      <c r="Z49" s="2">
        <f>IF(A49=0,"",SUMIF(A22:A33,A15,Z22:Z33) + Z15)</f>
        <v>156</v>
      </c>
      <c r="AA49" s="2">
        <f>IF(A49=0,"",SUMIF(A22:A33,A15,AA22:AA33) + AA15)</f>
        <v>203</v>
      </c>
      <c r="AB49" s="2">
        <f>IFERROR(IF(A49=0,"",SUMIF(A22:A33,A15,AB22:AB33) + AB15 - AF15) + SUMIF(A22:A33,A15,AD22:AD33),"")</f>
        <v>2772</v>
      </c>
      <c r="AC49" s="2">
        <f>IF(A49=0,"",SUMIF(A22:A33,A15,AC22:AC33) + SUMIF(A22:A33,A15,AE22:AE33) + AF15)</f>
        <v>1335</v>
      </c>
      <c r="AD49" s="2">
        <f>IF(A49=0,"",SUMIF(A22:A33,A15,AF22:AF33) + AD15)</f>
        <v>0</v>
      </c>
      <c r="AE49" s="2">
        <f>IF(A49=0,"",SUMIF(A22:A33,A15,AG22:AG33) + AE15)</f>
        <v>0</v>
      </c>
      <c r="AF49" s="2">
        <f>IF(A49=0,"",SUMIF(A22:A33,A15,AD22:AD33))</f>
        <v>0</v>
      </c>
      <c r="AG49" s="2">
        <f>IF(A49=0,"",SUMIF(A22:A33,A15,AE22:AE33))</f>
        <v>0</v>
      </c>
      <c r="AH49" s="2"/>
    </row>
    <row r="50" spans="1:34" x14ac:dyDescent="0.5">
      <c r="A50" t="str">
        <f t="shared" si="2"/>
        <v>2017/02/01</v>
      </c>
      <c r="B50" s="2">
        <f>IF(A50=0,"",SUMIF(A22:A33,A16,B22:B33) + B16)</f>
        <v>4107</v>
      </c>
      <c r="C50" s="2">
        <f>IF(A50=0,"",SUMIF(A22:A33,A16,C22:C33) + C16)</f>
        <v>0</v>
      </c>
      <c r="D50" s="2">
        <f>IF(A50=0,"",SUMIF(A22:A33,A16,D22:D33) + D16)</f>
        <v>0</v>
      </c>
      <c r="E50" s="2">
        <f>IF(A50=0,"",SUMIF(A22:A33,A16,E22:E33) + E16)</f>
        <v>0</v>
      </c>
      <c r="F50" s="2">
        <f>IF(A50=0,"",SUMIF(A22:A33,A16,F22:F33) + F16)</f>
        <v>0</v>
      </c>
      <c r="G50" s="2">
        <f>IF(A50=0,"",SUMIF(A22:A33,A16,G22:G33) + G16)</f>
        <v>457</v>
      </c>
      <c r="H50" s="2">
        <f>IF(A50=0,"",SUMIF(A22:A33,A16,H22:H33) + H16)</f>
        <v>87</v>
      </c>
      <c r="I50" s="2">
        <f>IF(A50=0,"",SUMIF(A22:A33,A16,I22:I33) + I16)</f>
        <v>475</v>
      </c>
      <c r="J50" s="2">
        <f>IF(A50=0,"",SUMIF(A22:A33,A16,J22:J33) + J16)</f>
        <v>192</v>
      </c>
      <c r="K50" s="2">
        <f>IF(A50=0,"",SUMIF(A22:A33,A16,K22:K33) + K16)</f>
        <v>0</v>
      </c>
      <c r="L50" s="2">
        <f>IF(A50=0,"",SUMIF(A22:A33,A16,L22:L33) + L16)</f>
        <v>0</v>
      </c>
      <c r="M50" s="2">
        <f>IF(A50=0,"",SUMIF(A22:A33,A16,M22:M33) + M16)</f>
        <v>0</v>
      </c>
      <c r="N50" s="2">
        <f>IF(A50=0,"",SUMIF(A22:A33,A16,N22:N33) + N16)</f>
        <v>0</v>
      </c>
      <c r="O50" s="2">
        <f>IF(A50=0,"",SUMIF(A22:A33,A16,O22:O33) + O16)</f>
        <v>45</v>
      </c>
      <c r="P50" s="2">
        <f>IF(A50=0,"",SUMIF(A22:A33,A16,P22:P33) + P16)</f>
        <v>0</v>
      </c>
      <c r="Q50" s="2">
        <f>IF(A50=0,"",SUMIF(A22:A33,A16,Q22:Q33) + Q16)</f>
        <v>0</v>
      </c>
      <c r="R50" s="2">
        <f>IF(A50=0,"",SUMIF(A22:A33,A16,R22:R33) + R16)</f>
        <v>0</v>
      </c>
      <c r="S50" s="2">
        <f>IF(A50=0,"",SUMIF(A22:A33,A16,S22:S33) + S16)</f>
        <v>0</v>
      </c>
      <c r="T50" s="2">
        <f>IF(A50=0,"",SUMIF(A22:A33,A16,T22:T33) + T16)</f>
        <v>0</v>
      </c>
      <c r="U50" s="2">
        <f>IF(A50=0,"",SUMIF(A22:A33,A16,U22:U33) + U16)</f>
        <v>0</v>
      </c>
      <c r="V50" s="2">
        <f>IF(A50=0,"",SUMIF(A22:A33,A16,V22:V33) + V16)</f>
        <v>0</v>
      </c>
      <c r="W50" s="2">
        <f>IF(A50=0,"",SUMIF(A22:A33,A16,W22:W33) + W16)</f>
        <v>0</v>
      </c>
      <c r="X50" s="2">
        <f>IF(A50=0,"",SUMIF(A22:A33,A16,X22:X33) + X16)</f>
        <v>512</v>
      </c>
      <c r="Y50" s="2">
        <f>IF(A50=0,"",SUMIF(A22:A33,A16,Y22:Y33) + Y16)</f>
        <v>0</v>
      </c>
      <c r="Z50" s="2">
        <f>IF(A50=0,"",SUMIF(A22:A33,A16,Z22:Z33) + Z16)</f>
        <v>2</v>
      </c>
      <c r="AA50" s="2">
        <f>IF(A50=0,"",SUMIF(A22:A33,A16,AA22:AA33) + AA16)</f>
        <v>23</v>
      </c>
      <c r="AB50" s="2">
        <f>IFERROR(IF(A50=0,"",SUMIF(A22:A33,A16,AB22:AB33) + AB16 - AF16) + SUMIF(A22:A33,A16,AD22:AD33),"")</f>
        <v>2326</v>
      </c>
      <c r="AC50" s="2">
        <f>IF(A50=0,"",SUMIF(A22:A33,A16,AC22:AC33) + SUMIF(A22:A33,A16,AE22:AE33) + AF16)</f>
        <v>1076</v>
      </c>
      <c r="AD50" s="2">
        <f>IF(A50=0,"",SUMIF(A22:A33,A16,AF22:AF33) + AD16)</f>
        <v>200</v>
      </c>
      <c r="AE50" s="2">
        <f>IF(A50=0,"",SUMIF(A22:A33,A16,AG22:AG33) + AE16)</f>
        <v>0</v>
      </c>
      <c r="AF50" s="2">
        <f>IF(A50=0,"",SUMIF(A22:A33,A16,AD22:AD33))</f>
        <v>0</v>
      </c>
      <c r="AG50" s="2">
        <f>IF(A50=0,"",SUMIF(A22:A33,A16,AE22:AE33))</f>
        <v>0</v>
      </c>
      <c r="AH50" s="2"/>
    </row>
    <row r="51" spans="1:34" x14ac:dyDescent="0.5">
      <c r="A51" s="1"/>
      <c r="B51" s="3"/>
      <c r="C51" s="4">
        <f t="shared" ref="C51:AG51" si="3">SUM(C39:C50)</f>
        <v>15977</v>
      </c>
      <c r="D51" s="5">
        <f t="shared" si="3"/>
        <v>0</v>
      </c>
      <c r="E51" s="5">
        <f t="shared" si="3"/>
        <v>0</v>
      </c>
      <c r="F51" s="5">
        <f t="shared" si="3"/>
        <v>0</v>
      </c>
      <c r="G51" s="5">
        <f t="shared" si="3"/>
        <v>23579</v>
      </c>
      <c r="H51" s="5">
        <f t="shared" si="3"/>
        <v>2407</v>
      </c>
      <c r="I51" s="5">
        <f t="shared" si="3"/>
        <v>10944</v>
      </c>
      <c r="J51" s="5">
        <f t="shared" si="3"/>
        <v>22722</v>
      </c>
      <c r="K51" s="5">
        <f t="shared" si="3"/>
        <v>509</v>
      </c>
      <c r="L51" s="5">
        <f t="shared" si="3"/>
        <v>0</v>
      </c>
      <c r="M51" s="5">
        <f t="shared" si="3"/>
        <v>0</v>
      </c>
      <c r="N51" s="5">
        <f t="shared" si="3"/>
        <v>64</v>
      </c>
      <c r="O51" s="5">
        <f t="shared" si="3"/>
        <v>760</v>
      </c>
      <c r="P51" s="5">
        <f t="shared" si="3"/>
        <v>264</v>
      </c>
      <c r="Q51" s="5">
        <f t="shared" si="3"/>
        <v>0</v>
      </c>
      <c r="R51" s="5">
        <f t="shared" si="3"/>
        <v>1214</v>
      </c>
      <c r="S51" s="5">
        <f t="shared" si="3"/>
        <v>0</v>
      </c>
      <c r="T51" s="5">
        <f t="shared" si="3"/>
        <v>463</v>
      </c>
      <c r="U51" s="5">
        <f t="shared" si="3"/>
        <v>48</v>
      </c>
      <c r="V51" s="5">
        <f t="shared" si="3"/>
        <v>0</v>
      </c>
      <c r="W51" s="5">
        <f t="shared" si="3"/>
        <v>0</v>
      </c>
      <c r="X51" s="5">
        <f t="shared" si="3"/>
        <v>23389</v>
      </c>
      <c r="Y51" s="5">
        <f t="shared" si="3"/>
        <v>0</v>
      </c>
      <c r="Z51" s="5">
        <f t="shared" si="3"/>
        <v>1365</v>
      </c>
      <c r="AA51" s="5">
        <f t="shared" si="3"/>
        <v>2516</v>
      </c>
      <c r="AB51" s="5">
        <f t="shared" si="3"/>
        <v>121448</v>
      </c>
      <c r="AC51" s="5">
        <f t="shared" si="3"/>
        <v>44178</v>
      </c>
      <c r="AD51" s="5">
        <f t="shared" si="3"/>
        <v>3066</v>
      </c>
      <c r="AE51" s="5">
        <f t="shared" si="3"/>
        <v>0</v>
      </c>
      <c r="AF51" s="5">
        <f t="shared" si="3"/>
        <v>0</v>
      </c>
      <c r="AG51" s="6">
        <f t="shared" si="3"/>
        <v>0</v>
      </c>
      <c r="AH51" s="3"/>
    </row>
    <row r="53" spans="1:34" x14ac:dyDescent="0.5">
      <c r="A53" s="1" t="s">
        <v>55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x14ac:dyDescent="0.5">
      <c r="A54" s="1" t="s">
        <v>2</v>
      </c>
      <c r="B54" s="3" t="s">
        <v>3</v>
      </c>
      <c r="C54" s="3" t="s">
        <v>4</v>
      </c>
      <c r="D54" s="3" t="s">
        <v>5</v>
      </c>
      <c r="E54" s="3" t="s">
        <v>6</v>
      </c>
      <c r="F54" s="3" t="s">
        <v>7</v>
      </c>
      <c r="G54" s="3" t="s">
        <v>8</v>
      </c>
      <c r="H54" s="3" t="s">
        <v>9</v>
      </c>
      <c r="I54" s="3" t="s">
        <v>10</v>
      </c>
      <c r="J54" s="3" t="s">
        <v>11</v>
      </c>
      <c r="K54" s="3" t="s">
        <v>12</v>
      </c>
      <c r="L54" s="3" t="s">
        <v>13</v>
      </c>
      <c r="M54" s="3" t="s">
        <v>14</v>
      </c>
      <c r="N54" s="3" t="s">
        <v>15</v>
      </c>
      <c r="O54" s="3" t="s">
        <v>16</v>
      </c>
      <c r="P54" s="3" t="s">
        <v>17</v>
      </c>
      <c r="Q54" s="3" t="s">
        <v>18</v>
      </c>
      <c r="R54" s="3" t="s">
        <v>19</v>
      </c>
      <c r="S54" s="3" t="s">
        <v>20</v>
      </c>
      <c r="T54" s="3" t="s">
        <v>21</v>
      </c>
      <c r="U54" s="3" t="s">
        <v>22</v>
      </c>
      <c r="V54" s="3" t="s">
        <v>23</v>
      </c>
      <c r="W54" s="3" t="s">
        <v>24</v>
      </c>
      <c r="X54" s="3" t="s">
        <v>25</v>
      </c>
      <c r="Y54" s="3" t="s">
        <v>26</v>
      </c>
      <c r="Z54" s="3" t="s">
        <v>27</v>
      </c>
      <c r="AA54" s="3" t="s">
        <v>28</v>
      </c>
      <c r="AB54" s="3" t="s">
        <v>29</v>
      </c>
      <c r="AC54" s="3" t="s">
        <v>30</v>
      </c>
      <c r="AD54" s="3" t="s">
        <v>31</v>
      </c>
      <c r="AE54" s="3" t="s">
        <v>32</v>
      </c>
      <c r="AF54" s="3" t="s">
        <v>33</v>
      </c>
      <c r="AG54" s="3"/>
      <c r="AH54" s="3"/>
    </row>
    <row r="55" spans="1:34" x14ac:dyDescent="0.5">
      <c r="A55" t="s">
        <v>56</v>
      </c>
      <c r="B55" s="2">
        <v>55546</v>
      </c>
      <c r="C55" s="2">
        <v>1254</v>
      </c>
      <c r="D55" s="2">
        <v>0</v>
      </c>
      <c r="E55" s="2">
        <v>0</v>
      </c>
      <c r="F55" s="2">
        <v>0</v>
      </c>
      <c r="G55" s="2">
        <v>10132</v>
      </c>
      <c r="H55" s="2">
        <v>2398</v>
      </c>
      <c r="I55" s="2">
        <v>1456</v>
      </c>
      <c r="J55" s="2">
        <v>2629</v>
      </c>
      <c r="K55" s="2">
        <v>33</v>
      </c>
      <c r="L55" s="2">
        <v>0</v>
      </c>
      <c r="M55" s="2">
        <v>0</v>
      </c>
      <c r="N55" s="2">
        <v>0</v>
      </c>
      <c r="O55" s="2">
        <v>80</v>
      </c>
      <c r="P55" s="2">
        <v>14</v>
      </c>
      <c r="Q55" s="2">
        <v>0</v>
      </c>
      <c r="R55" s="2">
        <v>61</v>
      </c>
      <c r="S55" s="2">
        <v>0</v>
      </c>
      <c r="T55" s="2">
        <v>59</v>
      </c>
      <c r="U55" s="2">
        <v>11</v>
      </c>
      <c r="V55" s="2"/>
      <c r="W55" s="2">
        <v>0</v>
      </c>
      <c r="X55" s="2">
        <v>10090</v>
      </c>
      <c r="Y55" s="2">
        <v>0</v>
      </c>
      <c r="Z55" s="2">
        <v>207</v>
      </c>
      <c r="AA55" s="2">
        <v>1461</v>
      </c>
      <c r="AB55" s="2">
        <v>53229</v>
      </c>
      <c r="AC55" s="2">
        <v>0</v>
      </c>
      <c r="AD55" s="2">
        <v>418</v>
      </c>
      <c r="AE55" s="2">
        <v>0</v>
      </c>
      <c r="AF55" s="2">
        <v>14259</v>
      </c>
      <c r="AG55" s="2"/>
      <c r="AH55" s="2"/>
    </row>
    <row r="56" spans="1:34" x14ac:dyDescent="0.5">
      <c r="A56" t="s">
        <v>57</v>
      </c>
      <c r="B56" s="2">
        <v>53229</v>
      </c>
      <c r="C56" s="2">
        <v>576</v>
      </c>
      <c r="D56" s="2">
        <v>0</v>
      </c>
      <c r="E56" s="2">
        <v>0</v>
      </c>
      <c r="F56" s="2">
        <v>0</v>
      </c>
      <c r="G56" s="2">
        <v>2094</v>
      </c>
      <c r="H56" s="2">
        <v>6</v>
      </c>
      <c r="I56" s="2">
        <v>1256</v>
      </c>
      <c r="J56" s="2">
        <v>2878</v>
      </c>
      <c r="K56" s="2">
        <v>62</v>
      </c>
      <c r="L56" s="2">
        <v>0</v>
      </c>
      <c r="M56" s="2">
        <v>0</v>
      </c>
      <c r="N56" s="2">
        <v>0</v>
      </c>
      <c r="O56" s="2">
        <v>83</v>
      </c>
      <c r="P56" s="2">
        <v>9</v>
      </c>
      <c r="Q56" s="2">
        <v>0</v>
      </c>
      <c r="R56" s="2">
        <v>0</v>
      </c>
      <c r="S56" s="2">
        <v>0</v>
      </c>
      <c r="T56" s="2">
        <v>179</v>
      </c>
      <c r="U56" s="2">
        <v>2</v>
      </c>
      <c r="V56" s="2"/>
      <c r="W56" s="2">
        <v>0</v>
      </c>
      <c r="X56" s="2">
        <v>2262</v>
      </c>
      <c r="Y56" s="2">
        <v>0</v>
      </c>
      <c r="Z56" s="2">
        <v>19</v>
      </c>
      <c r="AA56" s="2">
        <v>297</v>
      </c>
      <c r="AB56" s="2">
        <v>48858</v>
      </c>
      <c r="AC56" s="2">
        <v>0</v>
      </c>
      <c r="AD56" s="2">
        <v>402</v>
      </c>
      <c r="AE56" s="2">
        <v>0</v>
      </c>
      <c r="AF56" s="2">
        <v>11987</v>
      </c>
      <c r="AG56" s="2"/>
      <c r="AH56" s="2"/>
    </row>
    <row r="57" spans="1:34" x14ac:dyDescent="0.5">
      <c r="A57" t="s">
        <v>58</v>
      </c>
      <c r="B57" s="2">
        <v>48858</v>
      </c>
      <c r="C57" s="2">
        <v>6617</v>
      </c>
      <c r="D57" s="2">
        <v>0</v>
      </c>
      <c r="E57" s="2">
        <v>0</v>
      </c>
      <c r="F57" s="2">
        <v>0</v>
      </c>
      <c r="G57" s="2">
        <v>4083</v>
      </c>
      <c r="H57" s="2">
        <v>242</v>
      </c>
      <c r="I57" s="2">
        <v>1243</v>
      </c>
      <c r="J57" s="2">
        <v>3194</v>
      </c>
      <c r="K57" s="2">
        <v>42</v>
      </c>
      <c r="L57" s="2">
        <v>0</v>
      </c>
      <c r="M57" s="2">
        <v>0</v>
      </c>
      <c r="N57" s="2">
        <v>0</v>
      </c>
      <c r="O57" s="2">
        <v>88</v>
      </c>
      <c r="P57" s="2">
        <v>10</v>
      </c>
      <c r="Q57" s="2">
        <v>0</v>
      </c>
      <c r="R57" s="2">
        <v>31</v>
      </c>
      <c r="S57" s="2">
        <v>0</v>
      </c>
      <c r="T57" s="2">
        <v>257</v>
      </c>
      <c r="U57" s="2">
        <v>34</v>
      </c>
      <c r="V57" s="2"/>
      <c r="W57" s="2">
        <v>0</v>
      </c>
      <c r="X57" s="2">
        <v>3876</v>
      </c>
      <c r="Y57" s="2">
        <v>0</v>
      </c>
      <c r="Z57" s="2">
        <v>41</v>
      </c>
      <c r="AA57" s="2">
        <v>99</v>
      </c>
      <c r="AB57" s="2">
        <v>50885</v>
      </c>
      <c r="AC57" s="2">
        <v>0</v>
      </c>
      <c r="AD57" s="2">
        <v>342</v>
      </c>
      <c r="AE57" s="2">
        <v>0</v>
      </c>
      <c r="AF57" s="2">
        <v>14309</v>
      </c>
      <c r="AG57" s="2"/>
      <c r="AH57" s="2"/>
    </row>
    <row r="58" spans="1:34" x14ac:dyDescent="0.5">
      <c r="A58" t="s">
        <v>59</v>
      </c>
      <c r="B58" s="2">
        <v>50885</v>
      </c>
      <c r="C58" s="2">
        <v>7209</v>
      </c>
      <c r="D58" s="2">
        <v>0</v>
      </c>
      <c r="E58" s="2">
        <v>0</v>
      </c>
      <c r="F58" s="2">
        <v>0</v>
      </c>
      <c r="G58" s="2">
        <v>1607</v>
      </c>
      <c r="H58" s="2">
        <v>5</v>
      </c>
      <c r="I58" s="2">
        <v>1201</v>
      </c>
      <c r="J58" s="2">
        <v>3147</v>
      </c>
      <c r="K58" s="2">
        <v>84</v>
      </c>
      <c r="L58" s="2">
        <v>0</v>
      </c>
      <c r="M58" s="2">
        <v>0</v>
      </c>
      <c r="N58" s="2">
        <v>0</v>
      </c>
      <c r="O58" s="2">
        <v>119</v>
      </c>
      <c r="P58" s="2">
        <v>21</v>
      </c>
      <c r="Q58" s="2">
        <v>0</v>
      </c>
      <c r="R58" s="2">
        <v>370</v>
      </c>
      <c r="S58" s="2">
        <v>0</v>
      </c>
      <c r="T58" s="2">
        <v>168</v>
      </c>
      <c r="U58" s="2">
        <v>1</v>
      </c>
      <c r="V58" s="2"/>
      <c r="W58" s="2">
        <v>0</v>
      </c>
      <c r="X58" s="2">
        <v>1544</v>
      </c>
      <c r="Y58" s="2">
        <v>0</v>
      </c>
      <c r="Z58" s="2">
        <v>338</v>
      </c>
      <c r="AA58" s="2">
        <v>0</v>
      </c>
      <c r="AB58" s="2">
        <v>52713</v>
      </c>
      <c r="AC58" s="2">
        <v>0</v>
      </c>
      <c r="AD58" s="2">
        <v>384</v>
      </c>
      <c r="AE58" s="2">
        <v>0</v>
      </c>
      <c r="AF58" s="2">
        <v>14044</v>
      </c>
      <c r="AG58" s="2"/>
      <c r="AH58" s="2"/>
    </row>
    <row r="59" spans="1:34" x14ac:dyDescent="0.5">
      <c r="A59" t="s">
        <v>60</v>
      </c>
      <c r="B59" s="2">
        <v>52713</v>
      </c>
      <c r="C59" s="2">
        <v>2926</v>
      </c>
      <c r="D59" s="2">
        <v>0</v>
      </c>
      <c r="E59" s="2">
        <v>0</v>
      </c>
      <c r="F59" s="2">
        <v>0</v>
      </c>
      <c r="G59" s="2">
        <v>1570</v>
      </c>
      <c r="H59" s="2">
        <v>0</v>
      </c>
      <c r="I59" s="2">
        <v>1258</v>
      </c>
      <c r="J59" s="2">
        <v>4024</v>
      </c>
      <c r="K59" s="2">
        <v>122</v>
      </c>
      <c r="L59" s="2">
        <v>0</v>
      </c>
      <c r="M59" s="2">
        <v>0</v>
      </c>
      <c r="N59" s="2">
        <v>0</v>
      </c>
      <c r="O59" s="2">
        <v>100</v>
      </c>
      <c r="P59" s="2">
        <v>49</v>
      </c>
      <c r="Q59" s="2">
        <v>0</v>
      </c>
      <c r="R59" s="2">
        <v>0</v>
      </c>
      <c r="S59" s="2">
        <v>0</v>
      </c>
      <c r="T59" s="2">
        <v>137</v>
      </c>
      <c r="U59" s="2">
        <v>0</v>
      </c>
      <c r="V59" s="2"/>
      <c r="W59" s="2">
        <v>0</v>
      </c>
      <c r="X59" s="2">
        <v>1573</v>
      </c>
      <c r="Y59" s="2">
        <v>0</v>
      </c>
      <c r="Z59" s="2">
        <v>72</v>
      </c>
      <c r="AA59" s="2">
        <v>79</v>
      </c>
      <c r="AB59" s="2">
        <v>49795</v>
      </c>
      <c r="AC59" s="2">
        <v>0</v>
      </c>
      <c r="AD59" s="2">
        <v>341</v>
      </c>
      <c r="AE59" s="2">
        <v>0</v>
      </c>
      <c r="AF59" s="2">
        <v>9711</v>
      </c>
      <c r="AG59" s="2"/>
      <c r="AH59" s="2"/>
    </row>
    <row r="60" spans="1:34" x14ac:dyDescent="0.5">
      <c r="A60" t="s">
        <v>61</v>
      </c>
      <c r="B60" s="2">
        <v>49795</v>
      </c>
      <c r="C60" s="2">
        <v>770</v>
      </c>
      <c r="D60" s="2">
        <v>0</v>
      </c>
      <c r="E60" s="2">
        <v>0</v>
      </c>
      <c r="F60" s="2">
        <v>0</v>
      </c>
      <c r="G60" s="2">
        <v>5209</v>
      </c>
      <c r="H60" s="2">
        <v>228</v>
      </c>
      <c r="I60" s="2">
        <v>1351</v>
      </c>
      <c r="J60" s="2">
        <v>2810</v>
      </c>
      <c r="K60" s="2">
        <v>78</v>
      </c>
      <c r="L60" s="2">
        <v>0</v>
      </c>
      <c r="M60" s="2">
        <v>0</v>
      </c>
      <c r="N60" s="2">
        <v>0</v>
      </c>
      <c r="O60" s="2">
        <v>121</v>
      </c>
      <c r="P60" s="2">
        <v>8</v>
      </c>
      <c r="Q60" s="2">
        <v>0</v>
      </c>
      <c r="R60" s="2">
        <v>189</v>
      </c>
      <c r="S60" s="2">
        <v>0</v>
      </c>
      <c r="T60" s="2">
        <v>195</v>
      </c>
      <c r="U60" s="2">
        <v>24</v>
      </c>
      <c r="V60" s="2"/>
      <c r="W60" s="2">
        <v>0</v>
      </c>
      <c r="X60" s="2">
        <v>5222</v>
      </c>
      <c r="Y60" s="2">
        <v>0</v>
      </c>
      <c r="Z60" s="2">
        <v>14</v>
      </c>
      <c r="AA60" s="2">
        <v>57</v>
      </c>
      <c r="AB60" s="2">
        <v>45933</v>
      </c>
      <c r="AC60" s="2">
        <v>0</v>
      </c>
      <c r="AD60" s="2">
        <v>316</v>
      </c>
      <c r="AE60" s="2">
        <v>0</v>
      </c>
      <c r="AF60" s="2">
        <v>11024</v>
      </c>
      <c r="AG60" s="2"/>
      <c r="AH60" s="2"/>
    </row>
    <row r="61" spans="1:34" x14ac:dyDescent="0.5">
      <c r="A61" t="s">
        <v>62</v>
      </c>
      <c r="B61" s="2">
        <v>45933</v>
      </c>
      <c r="C61" s="2">
        <v>113</v>
      </c>
      <c r="D61" s="2">
        <v>0</v>
      </c>
      <c r="E61" s="2">
        <v>0</v>
      </c>
      <c r="F61" s="2">
        <v>0</v>
      </c>
      <c r="G61" s="2">
        <v>3606</v>
      </c>
      <c r="H61" s="2">
        <v>186</v>
      </c>
      <c r="I61" s="2">
        <v>1325</v>
      </c>
      <c r="J61" s="2">
        <v>3567</v>
      </c>
      <c r="K61" s="2">
        <v>60</v>
      </c>
      <c r="L61" s="2">
        <v>0</v>
      </c>
      <c r="M61" s="2">
        <v>0</v>
      </c>
      <c r="N61" s="2">
        <v>0</v>
      </c>
      <c r="O61" s="2">
        <v>110</v>
      </c>
      <c r="P61" s="2">
        <v>4</v>
      </c>
      <c r="Q61" s="2">
        <v>0</v>
      </c>
      <c r="R61" s="2">
        <v>0</v>
      </c>
      <c r="S61" s="2">
        <v>0</v>
      </c>
      <c r="T61" s="2">
        <v>139</v>
      </c>
      <c r="U61" s="2">
        <v>0</v>
      </c>
      <c r="V61" s="2"/>
      <c r="W61" s="2">
        <v>0</v>
      </c>
      <c r="X61" s="2">
        <v>3602</v>
      </c>
      <c r="Y61" s="2">
        <v>0</v>
      </c>
      <c r="Z61" s="2">
        <v>626</v>
      </c>
      <c r="AA61" s="2">
        <v>10</v>
      </c>
      <c r="AB61" s="2">
        <v>40395</v>
      </c>
      <c r="AC61" s="2">
        <v>0</v>
      </c>
      <c r="AD61" s="2">
        <v>391</v>
      </c>
      <c r="AE61" s="2">
        <v>0</v>
      </c>
      <c r="AF61" s="2">
        <v>9050</v>
      </c>
      <c r="AG61" s="2"/>
      <c r="AH61" s="2"/>
    </row>
    <row r="62" spans="1:34" x14ac:dyDescent="0.5">
      <c r="A62" t="s">
        <v>63</v>
      </c>
      <c r="B62" s="2">
        <v>40395</v>
      </c>
      <c r="C62" s="2">
        <v>760</v>
      </c>
      <c r="D62" s="2">
        <v>0</v>
      </c>
      <c r="E62" s="2">
        <v>0</v>
      </c>
      <c r="F62" s="2">
        <v>0</v>
      </c>
      <c r="G62" s="2">
        <v>3009</v>
      </c>
      <c r="H62" s="2">
        <v>546</v>
      </c>
      <c r="I62" s="2">
        <v>1582</v>
      </c>
      <c r="J62" s="2">
        <v>4052</v>
      </c>
      <c r="K62" s="2">
        <v>97</v>
      </c>
      <c r="L62" s="2">
        <v>0</v>
      </c>
      <c r="M62" s="2">
        <v>0</v>
      </c>
      <c r="N62" s="2">
        <v>0</v>
      </c>
      <c r="O62" s="2">
        <v>150</v>
      </c>
      <c r="P62" s="2">
        <v>8</v>
      </c>
      <c r="Q62" s="2">
        <v>0</v>
      </c>
      <c r="R62" s="2">
        <v>0</v>
      </c>
      <c r="S62" s="2">
        <v>0</v>
      </c>
      <c r="T62" s="2">
        <v>315</v>
      </c>
      <c r="U62" s="2">
        <v>34</v>
      </c>
      <c r="V62" s="2"/>
      <c r="W62" s="2">
        <v>0</v>
      </c>
      <c r="X62" s="2">
        <v>3063</v>
      </c>
      <c r="Y62" s="2">
        <v>0</v>
      </c>
      <c r="Z62" s="2">
        <v>98</v>
      </c>
      <c r="AA62" s="2">
        <v>22</v>
      </c>
      <c r="AB62" s="2">
        <v>35289</v>
      </c>
      <c r="AC62" s="2">
        <v>0</v>
      </c>
      <c r="AD62" s="2">
        <v>467</v>
      </c>
      <c r="AE62" s="2">
        <v>0</v>
      </c>
      <c r="AF62" s="2">
        <v>6443</v>
      </c>
      <c r="AG62" s="2"/>
      <c r="AH62" s="2"/>
    </row>
    <row r="63" spans="1:34" x14ac:dyDescent="0.5">
      <c r="A63" t="s">
        <v>64</v>
      </c>
      <c r="B63" s="2">
        <v>35289</v>
      </c>
      <c r="C63" s="2">
        <v>339</v>
      </c>
      <c r="D63" s="2">
        <v>0</v>
      </c>
      <c r="E63" s="2">
        <v>0</v>
      </c>
      <c r="F63" s="2">
        <v>0</v>
      </c>
      <c r="G63" s="2">
        <v>2625</v>
      </c>
      <c r="H63" s="2">
        <v>30</v>
      </c>
      <c r="I63" s="2">
        <v>1251</v>
      </c>
      <c r="J63" s="2">
        <v>2677</v>
      </c>
      <c r="K63" s="2">
        <v>40</v>
      </c>
      <c r="L63" s="2">
        <v>0</v>
      </c>
      <c r="M63" s="2">
        <v>0</v>
      </c>
      <c r="N63" s="2">
        <v>0</v>
      </c>
      <c r="O63" s="2">
        <v>94</v>
      </c>
      <c r="P63" s="2">
        <v>5</v>
      </c>
      <c r="Q63" s="2">
        <v>0</v>
      </c>
      <c r="R63" s="2">
        <v>0</v>
      </c>
      <c r="S63" s="2">
        <v>0</v>
      </c>
      <c r="T63" s="2">
        <v>82</v>
      </c>
      <c r="U63" s="2">
        <v>283</v>
      </c>
      <c r="V63" s="2"/>
      <c r="W63" s="2">
        <v>0</v>
      </c>
      <c r="X63" s="2">
        <v>2609</v>
      </c>
      <c r="Y63" s="2">
        <v>0</v>
      </c>
      <c r="Z63" s="2">
        <v>110</v>
      </c>
      <c r="AA63" s="2">
        <v>125</v>
      </c>
      <c r="AB63" s="2">
        <v>31007</v>
      </c>
      <c r="AC63" s="2">
        <v>0</v>
      </c>
      <c r="AD63" s="2">
        <v>389</v>
      </c>
      <c r="AE63" s="2">
        <v>0</v>
      </c>
      <c r="AF63" s="2">
        <v>4936</v>
      </c>
      <c r="AG63" s="2"/>
      <c r="AH63" s="2"/>
    </row>
    <row r="64" spans="1:34" x14ac:dyDescent="0.5">
      <c r="A64" t="s">
        <v>65</v>
      </c>
      <c r="B64" s="2">
        <v>31007</v>
      </c>
      <c r="C64" s="2">
        <v>292</v>
      </c>
      <c r="D64" s="2">
        <v>0</v>
      </c>
      <c r="E64" s="2">
        <v>0</v>
      </c>
      <c r="F64" s="2">
        <v>0</v>
      </c>
      <c r="G64" s="2">
        <v>1621</v>
      </c>
      <c r="H64" s="2">
        <v>0</v>
      </c>
      <c r="I64" s="2">
        <v>1056</v>
      </c>
      <c r="J64" s="2">
        <v>403</v>
      </c>
      <c r="K64" s="2">
        <v>71</v>
      </c>
      <c r="L64" s="2">
        <v>0</v>
      </c>
      <c r="M64" s="2">
        <v>0</v>
      </c>
      <c r="N64" s="2">
        <v>0</v>
      </c>
      <c r="O64" s="2">
        <v>70</v>
      </c>
      <c r="P64" s="2">
        <v>61</v>
      </c>
      <c r="Q64" s="2">
        <v>0</v>
      </c>
      <c r="R64" s="2">
        <v>0</v>
      </c>
      <c r="S64" s="2">
        <v>0</v>
      </c>
      <c r="T64" s="2">
        <v>35</v>
      </c>
      <c r="U64" s="2">
        <v>232</v>
      </c>
      <c r="V64" s="2"/>
      <c r="W64" s="2">
        <v>0</v>
      </c>
      <c r="X64" s="2">
        <v>1621</v>
      </c>
      <c r="Y64" s="2">
        <v>0</v>
      </c>
      <c r="Z64" s="2">
        <v>11</v>
      </c>
      <c r="AA64" s="2">
        <v>0</v>
      </c>
      <c r="AB64" s="2">
        <v>29360</v>
      </c>
      <c r="AC64" s="2">
        <v>0</v>
      </c>
      <c r="AD64" s="2">
        <v>459</v>
      </c>
      <c r="AE64" s="2">
        <v>0</v>
      </c>
      <c r="AF64" s="2">
        <v>4956</v>
      </c>
      <c r="AG64" s="2"/>
      <c r="AH64" s="2"/>
    </row>
    <row r="65" spans="1:34" x14ac:dyDescent="0.5">
      <c r="A65" t="s">
        <v>66</v>
      </c>
      <c r="B65" s="2">
        <v>29360</v>
      </c>
      <c r="C65" s="2">
        <v>123</v>
      </c>
      <c r="D65" s="2">
        <v>0</v>
      </c>
      <c r="E65" s="2">
        <v>0</v>
      </c>
      <c r="F65" s="2">
        <v>0</v>
      </c>
      <c r="G65" s="2">
        <v>1294</v>
      </c>
      <c r="H65" s="2">
        <v>654</v>
      </c>
      <c r="I65" s="2">
        <v>1489</v>
      </c>
      <c r="J65" s="2">
        <v>286</v>
      </c>
      <c r="K65" s="2">
        <v>25</v>
      </c>
      <c r="L65" s="2">
        <v>0</v>
      </c>
      <c r="M65" s="2">
        <v>0</v>
      </c>
      <c r="N65" s="2">
        <v>0</v>
      </c>
      <c r="O65" s="2">
        <v>77</v>
      </c>
      <c r="P65" s="2">
        <v>60</v>
      </c>
      <c r="Q65" s="2">
        <v>0</v>
      </c>
      <c r="R65" s="2">
        <v>0</v>
      </c>
      <c r="S65" s="2">
        <v>0</v>
      </c>
      <c r="T65" s="2">
        <v>16</v>
      </c>
      <c r="U65" s="2">
        <v>0</v>
      </c>
      <c r="V65" s="2"/>
      <c r="W65" s="2">
        <v>0</v>
      </c>
      <c r="X65" s="2">
        <v>1340</v>
      </c>
      <c r="Y65" s="2">
        <v>0</v>
      </c>
      <c r="Z65" s="2">
        <v>97</v>
      </c>
      <c r="AA65" s="2">
        <v>181</v>
      </c>
      <c r="AB65" s="2">
        <v>27860</v>
      </c>
      <c r="AC65" s="2">
        <v>0</v>
      </c>
      <c r="AD65" s="2">
        <v>353</v>
      </c>
      <c r="AE65" s="2">
        <v>0</v>
      </c>
      <c r="AF65" s="2">
        <v>4194</v>
      </c>
      <c r="AG65" s="2"/>
      <c r="AH65" s="2"/>
    </row>
    <row r="66" spans="1:34" x14ac:dyDescent="0.5">
      <c r="A66" t="s">
        <v>67</v>
      </c>
      <c r="B66" s="2">
        <v>27860</v>
      </c>
      <c r="C66" s="2">
        <v>63</v>
      </c>
      <c r="D66" s="2">
        <v>0</v>
      </c>
      <c r="E66" s="2">
        <v>0</v>
      </c>
      <c r="F66" s="2">
        <v>0</v>
      </c>
      <c r="G66" s="2">
        <v>3888</v>
      </c>
      <c r="H66" s="2">
        <v>4</v>
      </c>
      <c r="I66" s="2">
        <v>856</v>
      </c>
      <c r="J66" s="2">
        <v>725</v>
      </c>
      <c r="K66" s="2">
        <v>105</v>
      </c>
      <c r="L66" s="2">
        <v>0</v>
      </c>
      <c r="M66" s="2">
        <v>0</v>
      </c>
      <c r="N66" s="2">
        <v>0</v>
      </c>
      <c r="O66" s="2">
        <v>142</v>
      </c>
      <c r="P66" s="2">
        <v>107</v>
      </c>
      <c r="Q66" s="2">
        <v>0</v>
      </c>
      <c r="R66" s="2">
        <v>0</v>
      </c>
      <c r="S66" s="2">
        <v>0</v>
      </c>
      <c r="T66" s="2">
        <v>0</v>
      </c>
      <c r="U66" s="2">
        <v>65</v>
      </c>
      <c r="V66" s="2"/>
      <c r="W66" s="2">
        <v>0</v>
      </c>
      <c r="X66" s="2">
        <v>3803</v>
      </c>
      <c r="Y66" s="2">
        <v>0</v>
      </c>
      <c r="Z66" s="2">
        <v>200</v>
      </c>
      <c r="AA66" s="2">
        <v>115</v>
      </c>
      <c r="AB66" s="2">
        <v>25697</v>
      </c>
      <c r="AC66" s="2">
        <v>0</v>
      </c>
      <c r="AD66" s="2">
        <v>371</v>
      </c>
      <c r="AE66" s="2">
        <v>0</v>
      </c>
      <c r="AF66" s="2">
        <v>6105</v>
      </c>
      <c r="AG66" s="2"/>
      <c r="AH66" s="2"/>
    </row>
    <row r="67" spans="1:34" x14ac:dyDescent="0.5">
      <c r="A67" s="1"/>
      <c r="B67" s="3"/>
      <c r="C67" s="4">
        <f t="shared" ref="C67:AA67" si="4">SUM(C55:C66)</f>
        <v>21042</v>
      </c>
      <c r="D67" s="5">
        <f t="shared" si="4"/>
        <v>0</v>
      </c>
      <c r="E67" s="5">
        <f t="shared" si="4"/>
        <v>0</v>
      </c>
      <c r="F67" s="5">
        <f t="shared" si="4"/>
        <v>0</v>
      </c>
      <c r="G67" s="5">
        <f t="shared" si="4"/>
        <v>40738</v>
      </c>
      <c r="H67" s="5">
        <f t="shared" si="4"/>
        <v>4299</v>
      </c>
      <c r="I67" s="5">
        <f t="shared" si="4"/>
        <v>15324</v>
      </c>
      <c r="J67" s="5">
        <f t="shared" si="4"/>
        <v>30392</v>
      </c>
      <c r="K67" s="5">
        <f t="shared" si="4"/>
        <v>819</v>
      </c>
      <c r="L67" s="5">
        <f t="shared" si="4"/>
        <v>0</v>
      </c>
      <c r="M67" s="5">
        <f t="shared" si="4"/>
        <v>0</v>
      </c>
      <c r="N67" s="5">
        <f t="shared" si="4"/>
        <v>0</v>
      </c>
      <c r="O67" s="5">
        <f t="shared" si="4"/>
        <v>1234</v>
      </c>
      <c r="P67" s="5">
        <f t="shared" si="4"/>
        <v>356</v>
      </c>
      <c r="Q67" s="5">
        <f t="shared" si="4"/>
        <v>0</v>
      </c>
      <c r="R67" s="5">
        <f t="shared" si="4"/>
        <v>651</v>
      </c>
      <c r="S67" s="5">
        <f t="shared" si="4"/>
        <v>0</v>
      </c>
      <c r="T67" s="5">
        <f t="shared" si="4"/>
        <v>1582</v>
      </c>
      <c r="U67" s="5">
        <f t="shared" si="4"/>
        <v>686</v>
      </c>
      <c r="V67" s="5">
        <f t="shared" si="4"/>
        <v>0</v>
      </c>
      <c r="W67" s="5">
        <f t="shared" si="4"/>
        <v>0</v>
      </c>
      <c r="X67" s="5">
        <f t="shared" si="4"/>
        <v>40605</v>
      </c>
      <c r="Y67" s="5">
        <f t="shared" si="4"/>
        <v>0</v>
      </c>
      <c r="Z67" s="5">
        <f t="shared" si="4"/>
        <v>1833</v>
      </c>
      <c r="AA67" s="5">
        <f t="shared" si="4"/>
        <v>2446</v>
      </c>
      <c r="AB67" s="5"/>
      <c r="AC67" s="5">
        <f>SUM(AC55:AC66)</f>
        <v>0</v>
      </c>
      <c r="AD67" s="5">
        <f>SUM(AD55:AD66)</f>
        <v>4633</v>
      </c>
      <c r="AE67" s="5">
        <f>SUM(AE55:AE66)</f>
        <v>0</v>
      </c>
      <c r="AF67" s="6"/>
      <c r="AG67" s="3"/>
      <c r="AH67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65"/>
  <sheetViews>
    <sheetView tabSelected="1" zoomScale="55" workbookViewId="0">
      <selection activeCell="AP13" sqref="AP13"/>
    </sheetView>
  </sheetViews>
  <sheetFormatPr defaultRowHeight="28.2" x14ac:dyDescent="0.5"/>
  <cols>
    <col min="1" max="1" width="4" customWidth="1"/>
    <col min="2" max="2" width="2.8203125" customWidth="1"/>
    <col min="3" max="3" width="30" customWidth="1"/>
    <col min="4" max="42" width="11.46875" customWidth="1"/>
    <col min="43" max="43" width="30" customWidth="1"/>
    <col min="44" max="44" width="2.8203125" customWidth="1"/>
    <col min="45" max="45" width="4" customWidth="1"/>
  </cols>
  <sheetData>
    <row r="1" spans="1:45" ht="27.75" customHeight="1" x14ac:dyDescent="0.5">
      <c r="A1" s="7"/>
      <c r="B1" s="10"/>
      <c r="C1" s="12"/>
      <c r="D1" s="135" t="s">
        <v>69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4"/>
      <c r="AQ1" s="24"/>
      <c r="AR1" s="10"/>
      <c r="AS1" s="12"/>
    </row>
    <row r="2" spans="1:45" ht="27.75" customHeight="1" x14ac:dyDescent="0.5">
      <c r="A2" s="8"/>
      <c r="C2" s="13"/>
      <c r="D2" s="100" t="s">
        <v>70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2"/>
      <c r="AQ2" s="22"/>
      <c r="AS2" s="13"/>
    </row>
    <row r="3" spans="1:45" ht="27.75" customHeight="1" x14ac:dyDescent="0.5">
      <c r="A3" s="8"/>
      <c r="C3" s="13"/>
      <c r="D3" s="100" t="s">
        <v>457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2"/>
      <c r="AQ3" s="100" t="s">
        <v>458</v>
      </c>
      <c r="AR3" s="101"/>
      <c r="AS3" s="102"/>
    </row>
    <row r="4" spans="1:45" ht="27.75" customHeight="1" x14ac:dyDescent="0.5">
      <c r="A4" s="8"/>
      <c r="C4" s="13"/>
      <c r="D4" s="136" t="s">
        <v>72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7"/>
      <c r="AQ4" s="22"/>
      <c r="AS4" s="13"/>
    </row>
    <row r="5" spans="1:45" ht="27.75" customHeight="1" x14ac:dyDescent="0.5">
      <c r="A5" s="8"/>
      <c r="C5" s="13"/>
      <c r="D5" s="137" t="s">
        <v>421</v>
      </c>
      <c r="E5" s="113"/>
      <c r="F5" s="114"/>
      <c r="G5" s="118" t="s">
        <v>426</v>
      </c>
      <c r="H5" s="113"/>
      <c r="I5" s="114"/>
      <c r="J5" s="137" t="s">
        <v>422</v>
      </c>
      <c r="K5" s="113"/>
      <c r="L5" s="114"/>
      <c r="M5" s="118" t="s">
        <v>427</v>
      </c>
      <c r="N5" s="113"/>
      <c r="O5" s="114"/>
      <c r="P5" s="118" t="s">
        <v>428</v>
      </c>
      <c r="Q5" s="113"/>
      <c r="R5" s="114"/>
      <c r="S5" s="118" t="s">
        <v>429</v>
      </c>
      <c r="T5" s="113"/>
      <c r="U5" s="114"/>
      <c r="V5" s="118" t="s">
        <v>430</v>
      </c>
      <c r="W5" s="113"/>
      <c r="X5" s="114"/>
      <c r="Y5" s="137" t="s">
        <v>423</v>
      </c>
      <c r="Z5" s="113"/>
      <c r="AA5" s="114"/>
      <c r="AB5" s="118" t="s">
        <v>425</v>
      </c>
      <c r="AC5" s="113"/>
      <c r="AD5" s="114"/>
      <c r="AE5" s="137" t="s">
        <v>424</v>
      </c>
      <c r="AF5" s="113"/>
      <c r="AG5" s="114"/>
      <c r="AH5" s="112" t="s">
        <v>452</v>
      </c>
      <c r="AI5" s="113"/>
      <c r="AJ5" s="114"/>
      <c r="AK5" s="118" t="s">
        <v>431</v>
      </c>
      <c r="AL5" s="113"/>
      <c r="AM5" s="114"/>
      <c r="AN5" s="122" t="s">
        <v>85</v>
      </c>
      <c r="AO5" s="123"/>
      <c r="AP5" s="124"/>
      <c r="AQ5" s="22"/>
      <c r="AS5" s="13"/>
    </row>
    <row r="6" spans="1:45" ht="27.75" customHeight="1" x14ac:dyDescent="0.5">
      <c r="A6" s="8"/>
      <c r="C6" s="13"/>
      <c r="D6" s="115"/>
      <c r="E6" s="116"/>
      <c r="F6" s="117"/>
      <c r="G6" s="115"/>
      <c r="H6" s="116"/>
      <c r="I6" s="117"/>
      <c r="J6" s="115"/>
      <c r="K6" s="116"/>
      <c r="L6" s="117"/>
      <c r="M6" s="115"/>
      <c r="N6" s="116"/>
      <c r="O6" s="117"/>
      <c r="P6" s="115"/>
      <c r="Q6" s="116"/>
      <c r="R6" s="117"/>
      <c r="S6" s="115"/>
      <c r="T6" s="116"/>
      <c r="U6" s="117"/>
      <c r="V6" s="115"/>
      <c r="W6" s="116"/>
      <c r="X6" s="117"/>
      <c r="Y6" s="115"/>
      <c r="Z6" s="116"/>
      <c r="AA6" s="117"/>
      <c r="AB6" s="115"/>
      <c r="AC6" s="116"/>
      <c r="AD6" s="117"/>
      <c r="AE6" s="115"/>
      <c r="AF6" s="116"/>
      <c r="AG6" s="117"/>
      <c r="AH6" s="115"/>
      <c r="AI6" s="116"/>
      <c r="AJ6" s="117"/>
      <c r="AK6" s="115"/>
      <c r="AL6" s="116"/>
      <c r="AM6" s="117"/>
      <c r="AN6" s="125" t="s">
        <v>451</v>
      </c>
      <c r="AO6" s="126"/>
      <c r="AP6" s="127"/>
      <c r="AQ6" s="100" t="s">
        <v>459</v>
      </c>
      <c r="AR6" s="101"/>
      <c r="AS6" s="102"/>
    </row>
    <row r="7" spans="1:45" ht="27.75" customHeight="1" x14ac:dyDescent="0.5">
      <c r="A7" s="8"/>
      <c r="C7" s="13"/>
      <c r="D7" s="45" t="s">
        <v>86</v>
      </c>
      <c r="E7" s="45"/>
      <c r="F7" s="45" t="s">
        <v>51</v>
      </c>
      <c r="G7" s="45" t="s">
        <v>86</v>
      </c>
      <c r="H7" s="45"/>
      <c r="I7" s="45" t="s">
        <v>51</v>
      </c>
      <c r="J7" s="45" t="s">
        <v>86</v>
      </c>
      <c r="K7" s="45"/>
      <c r="L7" s="45" t="s">
        <v>51</v>
      </c>
      <c r="M7" s="45" t="s">
        <v>86</v>
      </c>
      <c r="N7" s="45"/>
      <c r="O7" s="45" t="s">
        <v>51</v>
      </c>
      <c r="P7" s="45" t="s">
        <v>86</v>
      </c>
      <c r="Q7" s="45"/>
      <c r="R7" s="45" t="s">
        <v>51</v>
      </c>
      <c r="S7" s="45" t="s">
        <v>86</v>
      </c>
      <c r="T7" s="45"/>
      <c r="U7" s="45" t="s">
        <v>51</v>
      </c>
      <c r="V7" s="45" t="s">
        <v>86</v>
      </c>
      <c r="W7" s="45"/>
      <c r="X7" s="45" t="s">
        <v>51</v>
      </c>
      <c r="Y7" s="45" t="s">
        <v>86</v>
      </c>
      <c r="Z7" s="45"/>
      <c r="AA7" s="45" t="s">
        <v>51</v>
      </c>
      <c r="AB7" s="45" t="s">
        <v>86</v>
      </c>
      <c r="AC7" s="45"/>
      <c r="AD7" s="45" t="s">
        <v>51</v>
      </c>
      <c r="AE7" s="45" t="s">
        <v>86</v>
      </c>
      <c r="AF7" s="45"/>
      <c r="AG7" s="45" t="s">
        <v>51</v>
      </c>
      <c r="AH7" s="45" t="s">
        <v>86</v>
      </c>
      <c r="AI7" s="45"/>
      <c r="AJ7" s="45" t="s">
        <v>51</v>
      </c>
      <c r="AK7" s="45" t="s">
        <v>86</v>
      </c>
      <c r="AL7" s="45"/>
      <c r="AM7" s="45" t="s">
        <v>51</v>
      </c>
      <c r="AN7" s="45" t="s">
        <v>86</v>
      </c>
      <c r="AO7" s="45"/>
      <c r="AP7" s="45" t="s">
        <v>51</v>
      </c>
      <c r="AQ7" s="22"/>
      <c r="AS7" s="13"/>
    </row>
    <row r="8" spans="1:45" ht="27.75" customHeight="1" x14ac:dyDescent="0.5">
      <c r="A8" s="9"/>
      <c r="B8" s="11"/>
      <c r="C8" s="14"/>
      <c r="D8" s="46" t="s">
        <v>87</v>
      </c>
      <c r="E8" s="46" t="s">
        <v>88</v>
      </c>
      <c r="F8" s="46" t="s">
        <v>89</v>
      </c>
      <c r="G8" s="46" t="s">
        <v>87</v>
      </c>
      <c r="H8" s="46" t="s">
        <v>88</v>
      </c>
      <c r="I8" s="46" t="s">
        <v>89</v>
      </c>
      <c r="J8" s="46" t="s">
        <v>87</v>
      </c>
      <c r="K8" s="46" t="s">
        <v>88</v>
      </c>
      <c r="L8" s="46" t="s">
        <v>89</v>
      </c>
      <c r="M8" s="46" t="s">
        <v>87</v>
      </c>
      <c r="N8" s="46" t="s">
        <v>88</v>
      </c>
      <c r="O8" s="46" t="s">
        <v>89</v>
      </c>
      <c r="P8" s="46" t="s">
        <v>87</v>
      </c>
      <c r="Q8" s="46" t="s">
        <v>88</v>
      </c>
      <c r="R8" s="46" t="s">
        <v>89</v>
      </c>
      <c r="S8" s="46" t="s">
        <v>87</v>
      </c>
      <c r="T8" s="46" t="s">
        <v>88</v>
      </c>
      <c r="U8" s="46" t="s">
        <v>89</v>
      </c>
      <c r="V8" s="46" t="s">
        <v>87</v>
      </c>
      <c r="W8" s="46" t="s">
        <v>88</v>
      </c>
      <c r="X8" s="46" t="s">
        <v>89</v>
      </c>
      <c r="Y8" s="46" t="s">
        <v>87</v>
      </c>
      <c r="Z8" s="46" t="s">
        <v>88</v>
      </c>
      <c r="AA8" s="46" t="s">
        <v>89</v>
      </c>
      <c r="AB8" s="46" t="s">
        <v>87</v>
      </c>
      <c r="AC8" s="46" t="s">
        <v>88</v>
      </c>
      <c r="AD8" s="46" t="s">
        <v>89</v>
      </c>
      <c r="AE8" s="46" t="s">
        <v>87</v>
      </c>
      <c r="AF8" s="46" t="s">
        <v>88</v>
      </c>
      <c r="AG8" s="46" t="s">
        <v>89</v>
      </c>
      <c r="AH8" s="46" t="s">
        <v>87</v>
      </c>
      <c r="AI8" s="46" t="s">
        <v>88</v>
      </c>
      <c r="AJ8" s="46" t="s">
        <v>89</v>
      </c>
      <c r="AK8" s="46" t="s">
        <v>87</v>
      </c>
      <c r="AL8" s="46" t="s">
        <v>88</v>
      </c>
      <c r="AM8" s="46" t="s">
        <v>89</v>
      </c>
      <c r="AN8" s="46" t="s">
        <v>87</v>
      </c>
      <c r="AO8" s="46" t="s">
        <v>88</v>
      </c>
      <c r="AP8" s="46" t="s">
        <v>89</v>
      </c>
      <c r="AQ8" s="23"/>
      <c r="AR8" s="11"/>
      <c r="AS8" s="14"/>
    </row>
    <row r="9" spans="1:45" ht="27.75" customHeight="1" x14ac:dyDescent="0.5"/>
    <row r="10" spans="1:45" ht="27.75" customHeight="1" x14ac:dyDescent="0.5">
      <c r="A10" s="7"/>
      <c r="B10" s="10"/>
      <c r="C10" s="10"/>
      <c r="D10" s="128" t="s">
        <v>203</v>
      </c>
      <c r="E10" s="120"/>
      <c r="F10" s="121"/>
      <c r="G10" s="119" t="s">
        <v>437</v>
      </c>
      <c r="H10" s="120"/>
      <c r="I10" s="121"/>
      <c r="J10" s="128" t="s">
        <v>432</v>
      </c>
      <c r="K10" s="120"/>
      <c r="L10" s="121"/>
      <c r="M10" s="119" t="s">
        <v>438</v>
      </c>
      <c r="N10" s="120"/>
      <c r="O10" s="121"/>
      <c r="P10" s="119" t="s">
        <v>428</v>
      </c>
      <c r="Q10" s="120"/>
      <c r="R10" s="121"/>
      <c r="S10" s="119" t="s">
        <v>429</v>
      </c>
      <c r="T10" s="120"/>
      <c r="U10" s="121"/>
      <c r="V10" s="119" t="s">
        <v>430</v>
      </c>
      <c r="W10" s="120"/>
      <c r="X10" s="121"/>
      <c r="Y10" s="128" t="s">
        <v>433</v>
      </c>
      <c r="Z10" s="120"/>
      <c r="AA10" s="121"/>
      <c r="AB10" s="119" t="s">
        <v>439</v>
      </c>
      <c r="AC10" s="120"/>
      <c r="AD10" s="121"/>
      <c r="AE10" s="128" t="s">
        <v>434</v>
      </c>
      <c r="AF10" s="120"/>
      <c r="AG10" s="121"/>
      <c r="AH10" s="119" t="s">
        <v>436</v>
      </c>
      <c r="AI10" s="120"/>
      <c r="AJ10" s="121"/>
      <c r="AK10" s="119" t="s">
        <v>435</v>
      </c>
      <c r="AL10" s="120"/>
      <c r="AM10" s="121"/>
      <c r="AN10" s="104" t="s">
        <v>203</v>
      </c>
      <c r="AO10" s="105"/>
      <c r="AP10" s="106"/>
      <c r="AQ10" s="10"/>
      <c r="AR10" s="10"/>
      <c r="AS10" s="12"/>
    </row>
    <row r="11" spans="1:45" ht="27.75" customHeight="1" x14ac:dyDescent="0.5">
      <c r="A11" s="22" t="s">
        <v>102</v>
      </c>
      <c r="D11" s="52">
        <f>IFERROR(IF(Sweet!B39="",0,Sweet!B39),0) - SUMIF(DeurvoerSweet!I5:I16,Sweet!A39,DeurvoerSweet!J5:J16)</f>
        <v>57445</v>
      </c>
      <c r="E11" s="52">
        <f>IFERROR(IF(Bitter!B39="",0,Bitter!B39),0) - SUMIF(DeurvoerBitter!I5:I16,Bitter!A39,DeurvoerBitter!J5:J16)</f>
        <v>25697</v>
      </c>
      <c r="F11" s="52">
        <f>SUM(D11:E11)</f>
        <v>83142</v>
      </c>
      <c r="G11" s="52">
        <f>IFERROR(IF(Sweet!B40="",0,Sweet!B40),0) - SUMIF(DeurvoerSweet!I5:I16,Sweet!A40,DeurvoerSweet!J5:J16)</f>
        <v>47329</v>
      </c>
      <c r="H11" s="52">
        <f>IFERROR(IF(Bitter!B40="",0,Bitter!B40),0) - SUMIF(DeurvoerBitter!I5:I16,Bitter!A40,DeurvoerBitter!J5:J16)</f>
        <v>21678</v>
      </c>
      <c r="I11" s="52">
        <f>SUM(G11:H11)</f>
        <v>69007</v>
      </c>
      <c r="J11" s="52">
        <f>IFERROR(IF(Sweet!B41="",0,Sweet!B41),0) - SUMIF(DeurvoerSweet!I5:I16,Sweet!A41,DeurvoerSweet!J5:J16)</f>
        <v>63462</v>
      </c>
      <c r="K11" s="52">
        <f>IFERROR(IF(Bitter!B41="",0,Bitter!B41),0) - SUMIF(DeurvoerBitter!I5:I16,Bitter!A41,DeurvoerBitter!J5:J16)</f>
        <v>18608</v>
      </c>
      <c r="L11" s="52">
        <f>SUM(J11:K11)</f>
        <v>82070</v>
      </c>
      <c r="M11" s="52">
        <f>IFERROR(IF(Sweet!B42="",0,Sweet!B42),0) - SUMIF(DeurvoerSweet!I5:I16,Sweet!A42,DeurvoerSweet!J5:J16)</f>
        <v>58996</v>
      </c>
      <c r="N11" s="52">
        <f>IFERROR(IF(Bitter!B42="",0,Bitter!B42),0) - SUMIF(DeurvoerBitter!I5:I16,Bitter!A42,DeurvoerBitter!J5:J16)</f>
        <v>19339</v>
      </c>
      <c r="O11" s="52">
        <f>SUM(M11:N11)</f>
        <v>78335</v>
      </c>
      <c r="P11" s="52">
        <f>IFERROR(IF(Sweet!B43="",0,Sweet!B43),0) - SUMIF(DeurvoerSweet!I5:I16,Sweet!A43,DeurvoerSweet!J5:J16)</f>
        <v>66958</v>
      </c>
      <c r="Q11" s="52">
        <f>IFERROR(IF(Bitter!B43="",0,Bitter!B43),0) - SUMIF(DeurvoerBitter!I5:I16,Bitter!A43,DeurvoerBitter!J5:J16)</f>
        <v>19151</v>
      </c>
      <c r="R11" s="52">
        <f>SUM(P11:Q11)</f>
        <v>86109</v>
      </c>
      <c r="S11" s="52">
        <f>IFERROR(IF(Sweet!B44="",0,Sweet!B44),0) - SUMIF(DeurvoerSweet!I5:I16,Sweet!A44,DeurvoerSweet!J5:J16)</f>
        <v>65273</v>
      </c>
      <c r="T11" s="52">
        <f>IFERROR(IF(Bitter!B44="",0,Bitter!B44),0) - SUMIF(DeurvoerBitter!I5:I16,Bitter!A44,DeurvoerBitter!J5:J16)</f>
        <v>18034</v>
      </c>
      <c r="U11" s="52">
        <f>SUM(S11:T11)</f>
        <v>83307</v>
      </c>
      <c r="V11" s="52">
        <f>IFERROR(IF(Sweet!B45="",0,Sweet!B45),0) - SUMIF(DeurvoerSweet!I5:I16,Sweet!A45,DeurvoerSweet!J5:J16)</f>
        <v>56988</v>
      </c>
      <c r="W11" s="52">
        <f>IFERROR(IF(Bitter!B45="",0,Bitter!B45),0) - SUMIF(DeurvoerBitter!I5:I16,Bitter!A45,DeurvoerBitter!J5:J16)</f>
        <v>16361</v>
      </c>
      <c r="X11" s="52">
        <f>SUM(V11:W11)</f>
        <v>73349</v>
      </c>
      <c r="Y11" s="52">
        <f>IFERROR(IF(Sweet!B46="",0,Sweet!B46),0) - SUMIF(DeurvoerSweet!I5:I16,Sweet!A46,DeurvoerSweet!J5:J16)</f>
        <v>61758</v>
      </c>
      <c r="Z11" s="52">
        <f>IFERROR(IF(Bitter!B46="",0,Bitter!B46),0) - SUMIF(DeurvoerBitter!I5:I16,Bitter!A46,DeurvoerBitter!J5:J16)</f>
        <v>14387</v>
      </c>
      <c r="AA11" s="52">
        <f>SUM(Y11:Z11)</f>
        <v>76145</v>
      </c>
      <c r="AB11" s="52">
        <f>IFERROR(IF(Sweet!B47="",0,Sweet!B47),0) - SUMIF(DeurvoerSweet!I5:I16,Sweet!A47,DeurvoerSweet!J5:J16)</f>
        <v>75083</v>
      </c>
      <c r="AC11" s="52">
        <f>IFERROR(IF(Bitter!B47="",0,Bitter!B47),0) - SUMIF(DeurvoerBitter!I5:I16,Bitter!A47,DeurvoerBitter!J5:J16)</f>
        <v>12422</v>
      </c>
      <c r="AD11" s="52">
        <f>SUM(AB11:AC11)</f>
        <v>87505</v>
      </c>
      <c r="AE11" s="52">
        <f>IFERROR(IF(Sweet!B48="",0,Sweet!B48),0) - SUMIF(DeurvoerSweet!I5:I16,Sweet!A48,DeurvoerSweet!J5:J16)</f>
        <v>61955</v>
      </c>
      <c r="AF11" s="52">
        <f>IFERROR(IF(Bitter!B48="",0,Bitter!B48),0) - SUMIF(DeurvoerBitter!I5:I16,Bitter!A48,DeurvoerBitter!J5:J16)</f>
        <v>10515</v>
      </c>
      <c r="AG11" s="52">
        <f>SUM(AE11:AF11)</f>
        <v>72470</v>
      </c>
      <c r="AH11" s="52">
        <f>IFERROR(IF(Sweet!B49="",0,Sweet!B49),0) - SUMIF(DeurvoerSweet!I5:I16,Sweet!A49,DeurvoerSweet!J5:J16)</f>
        <v>54262</v>
      </c>
      <c r="AI11" s="52">
        <f>IFERROR(IF(Bitter!B49="",0,Bitter!B49),0) - SUMIF(DeurvoerBitter!I5:I16,Bitter!A49,DeurvoerBitter!J5:J16)</f>
        <v>7622</v>
      </c>
      <c r="AJ11" s="52">
        <f>SUM(AH11:AI11)</f>
        <v>61884</v>
      </c>
      <c r="AK11" s="52">
        <f>IFERROR(IF(Sweet!B50="",0,Sweet!B50),0) - SUMIF(DeurvoerSweet!I5:I16,Sweet!A50,DeurvoerSweet!J5:J16)</f>
        <v>43736</v>
      </c>
      <c r="AL11" s="52">
        <f>IFERROR(IF(Bitter!B50="",0,Bitter!B50),0) - SUMIF(DeurvoerBitter!I5:I16,Bitter!A50,DeurvoerBitter!J5:J16)</f>
        <v>4107</v>
      </c>
      <c r="AM11" s="52">
        <f>SUM(AK11:AL11)</f>
        <v>47843</v>
      </c>
      <c r="AN11" s="52">
        <f>D11</f>
        <v>57445</v>
      </c>
      <c r="AO11" s="52">
        <f>E11</f>
        <v>25697</v>
      </c>
      <c r="AP11" s="52">
        <f>SUM(AN11:AO11)</f>
        <v>83142</v>
      </c>
      <c r="AQ11" s="29"/>
      <c r="AR11" s="29"/>
      <c r="AS11" s="41" t="s">
        <v>103</v>
      </c>
    </row>
    <row r="12" spans="1:45" ht="27.75" customHeight="1" x14ac:dyDescent="0.5">
      <c r="A12" s="2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103" t="s">
        <v>450</v>
      </c>
      <c r="AO12" s="103"/>
      <c r="AP12" s="103"/>
      <c r="AQ12" s="29"/>
      <c r="AR12" s="29"/>
      <c r="AS12" s="41"/>
    </row>
    <row r="13" spans="1:45" ht="27.75" customHeight="1" x14ac:dyDescent="0.5">
      <c r="A13" s="22" t="s">
        <v>104</v>
      </c>
      <c r="D13" s="52">
        <f t="shared" ref="D13:AP13" si="0">SUM(D14:D15)</f>
        <v>1230</v>
      </c>
      <c r="E13" s="52">
        <f t="shared" si="0"/>
        <v>125</v>
      </c>
      <c r="F13" s="52">
        <f t="shared" si="0"/>
        <v>1355</v>
      </c>
      <c r="G13" s="52">
        <f t="shared" si="0"/>
        <v>31750</v>
      </c>
      <c r="H13" s="52">
        <f t="shared" si="0"/>
        <v>401</v>
      </c>
      <c r="I13" s="52">
        <f t="shared" si="0"/>
        <v>32151</v>
      </c>
      <c r="J13" s="52">
        <f t="shared" si="0"/>
        <v>8215</v>
      </c>
      <c r="K13" s="52">
        <f t="shared" si="0"/>
        <v>4887</v>
      </c>
      <c r="L13" s="52">
        <f t="shared" si="0"/>
        <v>13102</v>
      </c>
      <c r="M13" s="52">
        <f t="shared" si="0"/>
        <v>20987</v>
      </c>
      <c r="N13" s="52">
        <f t="shared" si="0"/>
        <v>5517</v>
      </c>
      <c r="O13" s="52">
        <f t="shared" si="0"/>
        <v>26504</v>
      </c>
      <c r="P13" s="52">
        <f t="shared" si="0"/>
        <v>8100</v>
      </c>
      <c r="Q13" s="52">
        <f t="shared" si="0"/>
        <v>2819</v>
      </c>
      <c r="R13" s="52">
        <f t="shared" si="0"/>
        <v>10919</v>
      </c>
      <c r="S13" s="52">
        <f t="shared" si="0"/>
        <v>5613</v>
      </c>
      <c r="T13" s="52">
        <f t="shared" si="0"/>
        <v>1672</v>
      </c>
      <c r="U13" s="52">
        <f t="shared" si="0"/>
        <v>7285</v>
      </c>
      <c r="V13" s="52">
        <f t="shared" si="0"/>
        <v>18473</v>
      </c>
      <c r="W13" s="52">
        <f t="shared" si="0"/>
        <v>316</v>
      </c>
      <c r="X13" s="52">
        <f t="shared" si="0"/>
        <v>18789</v>
      </c>
      <c r="Y13" s="52">
        <f t="shared" si="0"/>
        <v>27263</v>
      </c>
      <c r="Z13" s="52">
        <f t="shared" si="0"/>
        <v>4</v>
      </c>
      <c r="AA13" s="52">
        <f t="shared" si="0"/>
        <v>27267</v>
      </c>
      <c r="AB13" s="52">
        <f t="shared" si="0"/>
        <v>1733</v>
      </c>
      <c r="AC13" s="52">
        <f t="shared" si="0"/>
        <v>171</v>
      </c>
      <c r="AD13" s="52">
        <f t="shared" si="0"/>
        <v>1904</v>
      </c>
      <c r="AE13" s="52">
        <f t="shared" si="0"/>
        <v>1930</v>
      </c>
      <c r="AF13" s="52">
        <f t="shared" si="0"/>
        <v>31</v>
      </c>
      <c r="AG13" s="52">
        <f t="shared" si="0"/>
        <v>1961</v>
      </c>
      <c r="AH13" s="52">
        <f t="shared" si="0"/>
        <v>1472</v>
      </c>
      <c r="AI13" s="52">
        <f t="shared" si="0"/>
        <v>34</v>
      </c>
      <c r="AJ13" s="52">
        <f t="shared" si="0"/>
        <v>1506</v>
      </c>
      <c r="AK13" s="52">
        <f t="shared" si="0"/>
        <v>792</v>
      </c>
      <c r="AL13" s="52">
        <f t="shared" si="0"/>
        <v>0</v>
      </c>
      <c r="AM13" s="52">
        <f t="shared" si="0"/>
        <v>792</v>
      </c>
      <c r="AN13" s="52">
        <f t="shared" si="0"/>
        <v>127558</v>
      </c>
      <c r="AO13" s="52">
        <f t="shared" si="0"/>
        <v>15977</v>
      </c>
      <c r="AP13" s="52">
        <f t="shared" si="0"/>
        <v>143535</v>
      </c>
      <c r="AQ13" s="29"/>
      <c r="AR13" s="29"/>
      <c r="AS13" s="41" t="s">
        <v>105</v>
      </c>
    </row>
    <row r="14" spans="1:45" ht="27.75" customHeight="1" x14ac:dyDescent="0.5">
      <c r="A14" s="22"/>
      <c r="B14" s="7" t="s">
        <v>106</v>
      </c>
      <c r="C14" s="12"/>
      <c r="D14" s="53">
        <f>IFERROR(IF(Sweet!C39="",0,Sweet!C39),0)</f>
        <v>1230</v>
      </c>
      <c r="E14" s="53">
        <f>IFERROR(IF(Bitter!C39="",0,Bitter!C39),0)</f>
        <v>125</v>
      </c>
      <c r="F14" s="53">
        <f>SUM(D14:E14)</f>
        <v>1355</v>
      </c>
      <c r="G14" s="53">
        <f>IFERROR(IF(Sweet!C40="",0,Sweet!C40),0)</f>
        <v>679</v>
      </c>
      <c r="H14" s="53">
        <f>IFERROR(IF(Bitter!C40="",0,Bitter!C40),0)</f>
        <v>401</v>
      </c>
      <c r="I14" s="53">
        <f>SUM(G14:H14)</f>
        <v>1080</v>
      </c>
      <c r="J14" s="53">
        <f>IFERROR(IF(Sweet!C41="",0,Sweet!C41),0)</f>
        <v>6167</v>
      </c>
      <c r="K14" s="53">
        <f>IFERROR(IF(Bitter!C41="",0,Bitter!C41),0)</f>
        <v>4887</v>
      </c>
      <c r="L14" s="53">
        <f>SUM(J14:K14)</f>
        <v>11054</v>
      </c>
      <c r="M14" s="53">
        <f>IFERROR(IF(Sweet!C42="",0,Sweet!C42),0)</f>
        <v>20987</v>
      </c>
      <c r="N14" s="53">
        <f>IFERROR(IF(Bitter!C42="",0,Bitter!C42),0)</f>
        <v>5517</v>
      </c>
      <c r="O14" s="53">
        <f>SUM(M14:N14)</f>
        <v>26504</v>
      </c>
      <c r="P14" s="53">
        <f>IFERROR(IF(Sweet!C43="",0,Sweet!C43),0)</f>
        <v>8100</v>
      </c>
      <c r="Q14" s="53">
        <f>IFERROR(IF(Bitter!C43="",0,Bitter!C43),0)</f>
        <v>2819</v>
      </c>
      <c r="R14" s="53">
        <f>SUM(P14:Q14)</f>
        <v>10919</v>
      </c>
      <c r="S14" s="53">
        <f>IFERROR(IF(Sweet!C44="",0,Sweet!C44),0)</f>
        <v>5613</v>
      </c>
      <c r="T14" s="53">
        <f>IFERROR(IF(Bitter!C44="",0,Bitter!C44),0)</f>
        <v>1672</v>
      </c>
      <c r="U14" s="53">
        <f>SUM(S14:T14)</f>
        <v>7285</v>
      </c>
      <c r="V14" s="53">
        <f>IFERROR(IF(Sweet!C45="",0,Sweet!C45),0)</f>
        <v>2728</v>
      </c>
      <c r="W14" s="53">
        <f>IFERROR(IF(Bitter!C45="",0,Bitter!C45),0)</f>
        <v>316</v>
      </c>
      <c r="X14" s="53">
        <f>SUM(V14:W14)</f>
        <v>3044</v>
      </c>
      <c r="Y14" s="53">
        <f>IFERROR(IF(Sweet!C46="",0,Sweet!C46),0)</f>
        <v>1195</v>
      </c>
      <c r="Z14" s="53">
        <f>IFERROR(IF(Bitter!C46="",0,Bitter!C46),0)</f>
        <v>4</v>
      </c>
      <c r="AA14" s="53">
        <f>SUM(Y14:Z14)</f>
        <v>1199</v>
      </c>
      <c r="AB14" s="53">
        <f>IFERROR(IF(Sweet!C47="",0,Sweet!C47),0)</f>
        <v>1733</v>
      </c>
      <c r="AC14" s="53">
        <f>IFERROR(IF(Bitter!C47="",0,Bitter!C47),0)</f>
        <v>171</v>
      </c>
      <c r="AD14" s="53">
        <f>SUM(AB14:AC14)</f>
        <v>1904</v>
      </c>
      <c r="AE14" s="53">
        <f>IFERROR(IF(Sweet!C48="",0,Sweet!C48),0)</f>
        <v>1930</v>
      </c>
      <c r="AF14" s="53">
        <f>IFERROR(IF(Bitter!C48="",0,Bitter!C48),0)</f>
        <v>31</v>
      </c>
      <c r="AG14" s="53">
        <f>SUM(AE14:AF14)</f>
        <v>1961</v>
      </c>
      <c r="AH14" s="53">
        <f>IFERROR(IF(Sweet!C49="",0,Sweet!C49),0)</f>
        <v>1447</v>
      </c>
      <c r="AI14" s="53">
        <f>IFERROR(IF(Bitter!C49="",0,Bitter!C49),0)</f>
        <v>34</v>
      </c>
      <c r="AJ14" s="53">
        <f>SUM(AH14:AI14)</f>
        <v>1481</v>
      </c>
      <c r="AK14" s="53">
        <f>IFERROR(IF(Sweet!C50="",0,Sweet!C50),0)</f>
        <v>792</v>
      </c>
      <c r="AL14" s="53">
        <f>IFERROR(IF(Bitter!C50="",0,Bitter!C50),0)</f>
        <v>0</v>
      </c>
      <c r="AM14" s="53">
        <f>SUM(AK14:AL14)</f>
        <v>792</v>
      </c>
      <c r="AN14" s="53">
        <f>D14+G14+J14+M14+P14+S14+V14+Y14+AB14+AE14+AH14+AK14</f>
        <v>52601</v>
      </c>
      <c r="AO14" s="53">
        <f>E14+H14+K14+N14+Q14+T14+W14+Z14+AC14+AF14+AI14+AL14</f>
        <v>15977</v>
      </c>
      <c r="AP14" s="53">
        <f>SUM(AN14:AO14)</f>
        <v>68578</v>
      </c>
      <c r="AQ14" s="30"/>
      <c r="AR14" s="36" t="s">
        <v>107</v>
      </c>
      <c r="AS14" s="41"/>
    </row>
    <row r="15" spans="1:45" ht="27.75" customHeight="1" x14ac:dyDescent="0.5">
      <c r="A15" s="22"/>
      <c r="B15" s="9" t="s">
        <v>108</v>
      </c>
      <c r="C15" s="14"/>
      <c r="D15" s="54">
        <f>IFERROR(IF((Sweet!D39 + Sweet!E39)="",0,(Sweet!D39 + Sweet!E39)),0) - SUMIF(DeurvoerSweet!I5:I16,Sweet!A39,DeurvoerSweet!K5:K16)</f>
        <v>0</v>
      </c>
      <c r="E15" s="54">
        <f>IFERROR(IF((Bitter!D39 + Bitter!E39)="",0,(Bitter!D39 + Bitter!E39)),0) - SUMIF(DeurvoerBitter!I5:I16,Bitter!A39,DeurvoerBitter!K5:K16)</f>
        <v>0</v>
      </c>
      <c r="F15" s="54">
        <f>SUM(D15:E15)</f>
        <v>0</v>
      </c>
      <c r="G15" s="54">
        <f>IFERROR(IF((Sweet!D40 + Sweet!E40)="",0,(Sweet!D40 + Sweet!E40)),0) - SUMIF(DeurvoerSweet!I5:I16,Sweet!A40,DeurvoerSweet!K5:K16)</f>
        <v>31071</v>
      </c>
      <c r="H15" s="54">
        <f>IFERROR(IF((Bitter!D40 + Bitter!E40)="",0,(Bitter!D40 + Bitter!E40)),0) - SUMIF(DeurvoerBitter!I5:I16,Bitter!A40,DeurvoerBitter!K5:K16)</f>
        <v>0</v>
      </c>
      <c r="I15" s="54">
        <f>SUM(G15:H15)</f>
        <v>31071</v>
      </c>
      <c r="J15" s="54">
        <f>IFERROR(IF((Sweet!D41 + Sweet!E41)="",0,(Sweet!D41 + Sweet!E41)),0) - SUMIF(DeurvoerSweet!I5:I16,Sweet!A41,DeurvoerSweet!K5:K16)</f>
        <v>2048</v>
      </c>
      <c r="K15" s="54">
        <f>IFERROR(IF((Bitter!D41 + Bitter!E41)="",0,(Bitter!D41 + Bitter!E41)),0) - SUMIF(DeurvoerBitter!I5:I16,Bitter!A41,DeurvoerBitter!K5:K16)</f>
        <v>0</v>
      </c>
      <c r="L15" s="54">
        <f>SUM(J15:K15)</f>
        <v>2048</v>
      </c>
      <c r="M15" s="54">
        <f>IFERROR(IF((Sweet!D42 + Sweet!E42)="",0,(Sweet!D42 + Sweet!E42)),0) - SUMIF(DeurvoerSweet!I5:I16,Sweet!A42,DeurvoerSweet!K5:K16)</f>
        <v>0</v>
      </c>
      <c r="N15" s="54">
        <f>IFERROR(IF((Bitter!D42 + Bitter!E42)="",0,(Bitter!D42 + Bitter!E42)),0) - SUMIF(DeurvoerBitter!I5:I16,Bitter!A42,DeurvoerBitter!K5:K16)</f>
        <v>0</v>
      </c>
      <c r="O15" s="54">
        <f>SUM(M15:N15)</f>
        <v>0</v>
      </c>
      <c r="P15" s="54">
        <f>IFERROR(IF((Sweet!D43 + Sweet!E43)="",0,(Sweet!D43 + Sweet!E43)),0) - SUMIF(DeurvoerSweet!I5:I16,Sweet!A43,DeurvoerSweet!K5:K16)</f>
        <v>0</v>
      </c>
      <c r="Q15" s="54">
        <f>IFERROR(IF((Bitter!D43 + Bitter!E43)="",0,(Bitter!D43 + Bitter!E43)),0) - SUMIF(DeurvoerBitter!I5:I16,Bitter!A43,DeurvoerBitter!K5:K16)</f>
        <v>0</v>
      </c>
      <c r="R15" s="54">
        <f>SUM(P15:Q15)</f>
        <v>0</v>
      </c>
      <c r="S15" s="54">
        <f>IFERROR(IF((Sweet!D44 + Sweet!E44)="",0,(Sweet!D44 + Sweet!E44)),0) - SUMIF(DeurvoerSweet!I5:I16,Sweet!A44,DeurvoerSweet!K5:K16)</f>
        <v>0</v>
      </c>
      <c r="T15" s="54">
        <f>IFERROR(IF((Bitter!D44 + Bitter!E44)="",0,(Bitter!D44 + Bitter!E44)),0) - SUMIF(DeurvoerBitter!I5:I16,Bitter!A44,DeurvoerBitter!K5:K16)</f>
        <v>0</v>
      </c>
      <c r="U15" s="54">
        <f>SUM(S15:T15)</f>
        <v>0</v>
      </c>
      <c r="V15" s="54">
        <f>IFERROR(IF((Sweet!D45 + Sweet!E45)="",0,(Sweet!D45 + Sweet!E45)),0) - SUMIF(DeurvoerSweet!I5:I16,Sweet!A45,DeurvoerSweet!K5:K16)</f>
        <v>15745</v>
      </c>
      <c r="W15" s="54">
        <f>IFERROR(IF((Bitter!D45 + Bitter!E45)="",0,(Bitter!D45 + Bitter!E45)),0) - SUMIF(DeurvoerBitter!I5:I16,Bitter!A45,DeurvoerBitter!K5:K16)</f>
        <v>0</v>
      </c>
      <c r="X15" s="54">
        <f>SUM(V15:W15)</f>
        <v>15745</v>
      </c>
      <c r="Y15" s="54">
        <f>IFERROR(IF((Sweet!D46 + Sweet!E46)="",0,(Sweet!D46 + Sweet!E46)),0) - SUMIF(DeurvoerSweet!I5:I16,Sweet!A46,DeurvoerSweet!K5:K16)</f>
        <v>26068</v>
      </c>
      <c r="Z15" s="54">
        <f>IFERROR(IF((Bitter!D46 + Bitter!E46)="",0,(Bitter!D46 + Bitter!E46)),0) - SUMIF(DeurvoerBitter!I5:I16,Bitter!A46,DeurvoerBitter!K5:K16)</f>
        <v>0</v>
      </c>
      <c r="AA15" s="54">
        <f>SUM(Y15:Z15)</f>
        <v>26068</v>
      </c>
      <c r="AB15" s="54">
        <f>IFERROR(IF((Sweet!D47 + Sweet!E47)="",0,(Sweet!D47 + Sweet!E47)),0) - SUMIF(DeurvoerSweet!I5:I16,Sweet!A47,DeurvoerSweet!K5:K16)</f>
        <v>0</v>
      </c>
      <c r="AC15" s="54">
        <f>IFERROR(IF((Bitter!D47 + Bitter!E47)="",0,(Bitter!D47 + Bitter!E47)),0) - SUMIF(DeurvoerBitter!I5:I16,Bitter!A47,DeurvoerBitter!K5:K16)</f>
        <v>0</v>
      </c>
      <c r="AD15" s="54">
        <f>SUM(AB15:AC15)</f>
        <v>0</v>
      </c>
      <c r="AE15" s="54">
        <f>IFERROR(IF((Sweet!D48 + Sweet!E48)="",0,(Sweet!D48 + Sweet!E48)),0) - SUMIF(DeurvoerSweet!I5:I16,Sweet!A48,DeurvoerSweet!K5:K16)</f>
        <v>0</v>
      </c>
      <c r="AF15" s="54">
        <f>IFERROR(IF((Bitter!D48 + Bitter!E48)="",0,(Bitter!D48 + Bitter!E48)),0) - SUMIF(DeurvoerBitter!I5:I16,Bitter!A48,DeurvoerBitter!K5:K16)</f>
        <v>0</v>
      </c>
      <c r="AG15" s="54">
        <f>SUM(AE15:AF15)</f>
        <v>0</v>
      </c>
      <c r="AH15" s="54">
        <f>IFERROR(IF((Sweet!D49 + Sweet!E49)="",0,(Sweet!D49 + Sweet!E49)),0) - SUMIF(DeurvoerSweet!I5:I16,Sweet!A49,DeurvoerSweet!K5:K16)</f>
        <v>25</v>
      </c>
      <c r="AI15" s="54">
        <f>IFERROR(IF((Bitter!D49 + Bitter!E49)="",0,(Bitter!D49 + Bitter!E49)),0) - SUMIF(DeurvoerBitter!I5:I16,Bitter!A49,DeurvoerBitter!K5:K16)</f>
        <v>0</v>
      </c>
      <c r="AJ15" s="54">
        <f>SUM(AH15:AI15)</f>
        <v>25</v>
      </c>
      <c r="AK15" s="54">
        <f>IFERROR(IF((Sweet!D50 + Sweet!E50)="",0,(Sweet!D50 + Sweet!E50)),0) - SUMIF(DeurvoerSweet!I5:I16,Sweet!A50,DeurvoerSweet!K5:K16)</f>
        <v>0</v>
      </c>
      <c r="AL15" s="54">
        <f>IFERROR(IF((Bitter!D50 + Bitter!E50)="",0,(Bitter!D50 + Bitter!E50)),0) - SUMIF(DeurvoerBitter!I5:I16,Bitter!A50,DeurvoerBitter!K5:K16)</f>
        <v>0</v>
      </c>
      <c r="AM15" s="54">
        <f>SUM(AK15:AL15)</f>
        <v>0</v>
      </c>
      <c r="AN15" s="54">
        <f>D15+G15+J15+M15+P15+S15+V15+Y15+AB15+AE15+AH15+AK15</f>
        <v>74957</v>
      </c>
      <c r="AO15" s="54">
        <f>E15+H15+K15+N15+Q15+T15+W15+Z15+AC15+AF15+AI15+AL15</f>
        <v>0</v>
      </c>
      <c r="AP15" s="54">
        <f>SUM(AN15:AO15)</f>
        <v>74957</v>
      </c>
      <c r="AQ15" s="31"/>
      <c r="AR15" s="37" t="s">
        <v>109</v>
      </c>
      <c r="AS15" s="41"/>
    </row>
    <row r="16" spans="1:45" ht="27.75" customHeight="1" x14ac:dyDescent="0.5">
      <c r="A16" s="2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9"/>
      <c r="AR16" s="29"/>
      <c r="AS16" s="41"/>
    </row>
    <row r="17" spans="1:45" ht="27.75" customHeight="1" x14ac:dyDescent="0.5">
      <c r="A17" s="22" t="s">
        <v>110</v>
      </c>
      <c r="D17" s="52">
        <f t="shared" ref="D17:AP17" si="1">D18+D29+D30+D31</f>
        <v>9840</v>
      </c>
      <c r="E17" s="52">
        <f t="shared" si="1"/>
        <v>3293</v>
      </c>
      <c r="F17" s="52">
        <f t="shared" si="1"/>
        <v>13133</v>
      </c>
      <c r="G17" s="52">
        <f t="shared" si="1"/>
        <v>10050</v>
      </c>
      <c r="H17" s="52">
        <f t="shared" si="1"/>
        <v>3641</v>
      </c>
      <c r="I17" s="52">
        <f t="shared" si="1"/>
        <v>13691</v>
      </c>
      <c r="J17" s="52">
        <f t="shared" si="1"/>
        <v>13118</v>
      </c>
      <c r="K17" s="52">
        <f t="shared" si="1"/>
        <v>1874</v>
      </c>
      <c r="L17" s="52">
        <f t="shared" si="1"/>
        <v>14992</v>
      </c>
      <c r="M17" s="52">
        <f t="shared" si="1"/>
        <v>11495</v>
      </c>
      <c r="N17" s="52">
        <f t="shared" si="1"/>
        <v>5167</v>
      </c>
      <c r="O17" s="52">
        <f t="shared" si="1"/>
        <v>16662</v>
      </c>
      <c r="P17" s="52">
        <f t="shared" si="1"/>
        <v>9768</v>
      </c>
      <c r="Q17" s="52">
        <f t="shared" si="1"/>
        <v>3751</v>
      </c>
      <c r="R17" s="52">
        <f t="shared" si="1"/>
        <v>13519</v>
      </c>
      <c r="S17" s="52">
        <f t="shared" si="1"/>
        <v>12224</v>
      </c>
      <c r="T17" s="52">
        <f t="shared" si="1"/>
        <v>2911</v>
      </c>
      <c r="U17" s="52">
        <f t="shared" si="1"/>
        <v>15135</v>
      </c>
      <c r="V17" s="52">
        <f t="shared" si="1"/>
        <v>12857</v>
      </c>
      <c r="W17" s="52">
        <f t="shared" si="1"/>
        <v>1719</v>
      </c>
      <c r="X17" s="52">
        <f t="shared" si="1"/>
        <v>14576</v>
      </c>
      <c r="Y17" s="52">
        <f t="shared" si="1"/>
        <v>13204</v>
      </c>
      <c r="Z17" s="52">
        <f t="shared" si="1"/>
        <v>2013</v>
      </c>
      <c r="AA17" s="52">
        <f t="shared" si="1"/>
        <v>15217</v>
      </c>
      <c r="AB17" s="52">
        <f t="shared" si="1"/>
        <v>14339</v>
      </c>
      <c r="AC17" s="52">
        <f t="shared" si="1"/>
        <v>2181</v>
      </c>
      <c r="AD17" s="52">
        <f t="shared" si="1"/>
        <v>16520</v>
      </c>
      <c r="AE17" s="52">
        <f t="shared" si="1"/>
        <v>9656</v>
      </c>
      <c r="AF17" s="52">
        <f t="shared" si="1"/>
        <v>3128</v>
      </c>
      <c r="AG17" s="52">
        <f t="shared" si="1"/>
        <v>12784</v>
      </c>
      <c r="AH17" s="52">
        <f t="shared" si="1"/>
        <v>9328</v>
      </c>
      <c r="AI17" s="52">
        <f t="shared" si="1"/>
        <v>3881</v>
      </c>
      <c r="AJ17" s="52">
        <f t="shared" si="1"/>
        <v>13209</v>
      </c>
      <c r="AK17" s="52">
        <f t="shared" si="1"/>
        <v>12216</v>
      </c>
      <c r="AL17" s="52">
        <f t="shared" si="1"/>
        <v>514</v>
      </c>
      <c r="AM17" s="52">
        <f t="shared" si="1"/>
        <v>12730</v>
      </c>
      <c r="AN17" s="52">
        <f t="shared" si="1"/>
        <v>138095</v>
      </c>
      <c r="AO17" s="52">
        <f t="shared" si="1"/>
        <v>34073</v>
      </c>
      <c r="AP17" s="52">
        <f t="shared" si="1"/>
        <v>172168</v>
      </c>
      <c r="AQ17" s="29"/>
      <c r="AR17" s="29"/>
      <c r="AS17" s="41" t="s">
        <v>111</v>
      </c>
    </row>
    <row r="18" spans="1:45" ht="27.75" customHeight="1" x14ac:dyDescent="0.5">
      <c r="A18" s="22"/>
      <c r="B18" s="7" t="s">
        <v>112</v>
      </c>
      <c r="C18" s="12"/>
      <c r="D18" s="52">
        <f t="shared" ref="D18:AP18" si="2">D19+D25</f>
        <v>9566</v>
      </c>
      <c r="E18" s="52">
        <f t="shared" si="2"/>
        <v>3272</v>
      </c>
      <c r="F18" s="52">
        <f t="shared" si="2"/>
        <v>12838</v>
      </c>
      <c r="G18" s="52">
        <f t="shared" si="2"/>
        <v>9871</v>
      </c>
      <c r="H18" s="52">
        <f t="shared" si="2"/>
        <v>3630</v>
      </c>
      <c r="I18" s="52">
        <f t="shared" si="2"/>
        <v>13501</v>
      </c>
      <c r="J18" s="52">
        <f t="shared" si="2"/>
        <v>12970</v>
      </c>
      <c r="K18" s="52">
        <f t="shared" si="2"/>
        <v>1874</v>
      </c>
      <c r="L18" s="52">
        <f t="shared" si="2"/>
        <v>14844</v>
      </c>
      <c r="M18" s="52">
        <f t="shared" si="2"/>
        <v>11399</v>
      </c>
      <c r="N18" s="52">
        <f t="shared" si="2"/>
        <v>5056</v>
      </c>
      <c r="O18" s="52">
        <f t="shared" si="2"/>
        <v>16455</v>
      </c>
      <c r="P18" s="52">
        <f t="shared" si="2"/>
        <v>9672</v>
      </c>
      <c r="Q18" s="52">
        <f t="shared" si="2"/>
        <v>3594</v>
      </c>
      <c r="R18" s="52">
        <f t="shared" si="2"/>
        <v>13266</v>
      </c>
      <c r="S18" s="52">
        <f t="shared" si="2"/>
        <v>12170</v>
      </c>
      <c r="T18" s="52">
        <f t="shared" si="2"/>
        <v>2739</v>
      </c>
      <c r="U18" s="52">
        <f t="shared" si="2"/>
        <v>14909</v>
      </c>
      <c r="V18" s="52">
        <f t="shared" si="2"/>
        <v>12818</v>
      </c>
      <c r="W18" s="52">
        <f t="shared" si="2"/>
        <v>1719</v>
      </c>
      <c r="X18" s="52">
        <f t="shared" si="2"/>
        <v>14537</v>
      </c>
      <c r="Y18" s="52">
        <f t="shared" si="2"/>
        <v>13149</v>
      </c>
      <c r="Z18" s="52">
        <f t="shared" si="2"/>
        <v>1977</v>
      </c>
      <c r="AA18" s="52">
        <f t="shared" si="2"/>
        <v>15126</v>
      </c>
      <c r="AB18" s="52">
        <f t="shared" si="2"/>
        <v>14243</v>
      </c>
      <c r="AC18" s="52">
        <f t="shared" si="2"/>
        <v>2178</v>
      </c>
      <c r="AD18" s="52">
        <f t="shared" si="2"/>
        <v>16421</v>
      </c>
      <c r="AE18" s="52">
        <f t="shared" si="2"/>
        <v>9500</v>
      </c>
      <c r="AF18" s="52">
        <f t="shared" si="2"/>
        <v>3128</v>
      </c>
      <c r="AG18" s="52">
        <f t="shared" si="2"/>
        <v>12628</v>
      </c>
      <c r="AH18" s="52">
        <f t="shared" si="2"/>
        <v>9251</v>
      </c>
      <c r="AI18" s="52">
        <f t="shared" si="2"/>
        <v>3881</v>
      </c>
      <c r="AJ18" s="52">
        <f t="shared" si="2"/>
        <v>13132</v>
      </c>
      <c r="AK18" s="52">
        <f t="shared" si="2"/>
        <v>12144</v>
      </c>
      <c r="AL18" s="52">
        <f t="shared" si="2"/>
        <v>514</v>
      </c>
      <c r="AM18" s="52">
        <f t="shared" si="2"/>
        <v>12658</v>
      </c>
      <c r="AN18" s="52">
        <f t="shared" si="2"/>
        <v>136753</v>
      </c>
      <c r="AO18" s="52">
        <f t="shared" si="2"/>
        <v>33562</v>
      </c>
      <c r="AP18" s="52">
        <f t="shared" si="2"/>
        <v>170315</v>
      </c>
      <c r="AQ18" s="30"/>
      <c r="AR18" s="36" t="s">
        <v>113</v>
      </c>
      <c r="AS18" s="41"/>
    </row>
    <row r="19" spans="1:45" ht="27.75" customHeight="1" x14ac:dyDescent="0.5">
      <c r="A19" s="22"/>
      <c r="B19" s="8"/>
      <c r="C19" s="13" t="s">
        <v>114</v>
      </c>
      <c r="D19" s="52">
        <f t="shared" ref="D19:AP19" si="3">SUM(D20:D24)</f>
        <v>9024</v>
      </c>
      <c r="E19" s="52">
        <f t="shared" si="3"/>
        <v>2996</v>
      </c>
      <c r="F19" s="52">
        <f t="shared" si="3"/>
        <v>12020</v>
      </c>
      <c r="G19" s="52">
        <f t="shared" si="3"/>
        <v>9412</v>
      </c>
      <c r="H19" s="52">
        <f t="shared" si="3"/>
        <v>3222</v>
      </c>
      <c r="I19" s="52">
        <f t="shared" si="3"/>
        <v>12634</v>
      </c>
      <c r="J19" s="52">
        <f t="shared" si="3"/>
        <v>12362</v>
      </c>
      <c r="K19" s="52">
        <f t="shared" si="3"/>
        <v>1653</v>
      </c>
      <c r="L19" s="52">
        <f t="shared" si="3"/>
        <v>14015</v>
      </c>
      <c r="M19" s="52">
        <f t="shared" si="3"/>
        <v>10827</v>
      </c>
      <c r="N19" s="52">
        <f t="shared" si="3"/>
        <v>4904</v>
      </c>
      <c r="O19" s="52">
        <f t="shared" si="3"/>
        <v>15731</v>
      </c>
      <c r="P19" s="52">
        <f t="shared" si="3"/>
        <v>9007</v>
      </c>
      <c r="Q19" s="52">
        <f t="shared" si="3"/>
        <v>3494</v>
      </c>
      <c r="R19" s="52">
        <f t="shared" si="3"/>
        <v>12501</v>
      </c>
      <c r="S19" s="52">
        <f t="shared" si="3"/>
        <v>11561</v>
      </c>
      <c r="T19" s="52">
        <f t="shared" si="3"/>
        <v>2469</v>
      </c>
      <c r="U19" s="52">
        <f t="shared" si="3"/>
        <v>14030</v>
      </c>
      <c r="V19" s="52">
        <f t="shared" si="3"/>
        <v>12384</v>
      </c>
      <c r="W19" s="52">
        <f t="shared" si="3"/>
        <v>1358</v>
      </c>
      <c r="X19" s="52">
        <f t="shared" si="3"/>
        <v>13742</v>
      </c>
      <c r="Y19" s="52">
        <f t="shared" si="3"/>
        <v>12462</v>
      </c>
      <c r="Z19" s="52">
        <f t="shared" si="3"/>
        <v>1824</v>
      </c>
      <c r="AA19" s="52">
        <f t="shared" si="3"/>
        <v>14286</v>
      </c>
      <c r="AB19" s="52">
        <f t="shared" si="3"/>
        <v>13179</v>
      </c>
      <c r="AC19" s="52">
        <f t="shared" si="3"/>
        <v>2007</v>
      </c>
      <c r="AD19" s="52">
        <f t="shared" si="3"/>
        <v>15186</v>
      </c>
      <c r="AE19" s="52">
        <f t="shared" si="3"/>
        <v>9090</v>
      </c>
      <c r="AF19" s="52">
        <f t="shared" si="3"/>
        <v>2993</v>
      </c>
      <c r="AG19" s="52">
        <f t="shared" si="3"/>
        <v>12083</v>
      </c>
      <c r="AH19" s="52">
        <f t="shared" si="3"/>
        <v>8641</v>
      </c>
      <c r="AI19" s="52">
        <f t="shared" si="3"/>
        <v>3722</v>
      </c>
      <c r="AJ19" s="52">
        <f t="shared" si="3"/>
        <v>12363</v>
      </c>
      <c r="AK19" s="52">
        <f t="shared" si="3"/>
        <v>11546</v>
      </c>
      <c r="AL19" s="52">
        <f t="shared" si="3"/>
        <v>467</v>
      </c>
      <c r="AM19" s="52">
        <f t="shared" si="3"/>
        <v>12013</v>
      </c>
      <c r="AN19" s="52">
        <f t="shared" si="3"/>
        <v>129495</v>
      </c>
      <c r="AO19" s="52">
        <f t="shared" si="3"/>
        <v>31109</v>
      </c>
      <c r="AP19" s="52">
        <f t="shared" si="3"/>
        <v>160604</v>
      </c>
      <c r="AQ19" s="32" t="s">
        <v>115</v>
      </c>
      <c r="AR19" s="38"/>
      <c r="AS19" s="41"/>
    </row>
    <row r="20" spans="1:45" ht="27.75" customHeight="1" x14ac:dyDescent="0.5">
      <c r="A20" s="22"/>
      <c r="B20" s="8"/>
      <c r="C20" s="15" t="s">
        <v>116</v>
      </c>
      <c r="D20" s="53">
        <f>IFERROR(IF((Sweet!I39 - ProdExpSweet!B5)="",0,(Sweet!I39 - ProdExpSweet!B5)),0)</f>
        <v>10</v>
      </c>
      <c r="E20" s="53">
        <f>IFERROR(IF((Bitter!I39 - ProdExpBitter!B5)="",0,(Bitter!I39 - ProdExpBitter!B5)),0)</f>
        <v>550</v>
      </c>
      <c r="F20" s="53">
        <f>SUM(D20:E20)</f>
        <v>560</v>
      </c>
      <c r="G20" s="53">
        <f>IFERROR(IF((Sweet!I40 - ProdExpSweet!B6)="",0,(Sweet!I40 - ProdExpSweet!B6)),0)</f>
        <v>78</v>
      </c>
      <c r="H20" s="53">
        <f>IFERROR(IF((Bitter!I40 - ProdExpBitter!B6)="",0,(Bitter!I40 - ProdExpBitter!B6)),0)</f>
        <v>925</v>
      </c>
      <c r="I20" s="53">
        <f>SUM(G20:H20)</f>
        <v>1003</v>
      </c>
      <c r="J20" s="53">
        <f>IFERROR(IF((Sweet!I41 - ProdExpSweet!B7)="",0,(Sweet!I41 - ProdExpSweet!B7)),0)</f>
        <v>178</v>
      </c>
      <c r="K20" s="53">
        <f>IFERROR(IF((Bitter!I41 - ProdExpBitter!B7)="",0,(Bitter!I41 - ProdExpBitter!B7)),0)</f>
        <v>884</v>
      </c>
      <c r="L20" s="53">
        <f>SUM(J20:K20)</f>
        <v>1062</v>
      </c>
      <c r="M20" s="53">
        <f>IFERROR(IF((Sweet!I42  - ProdExpSweet!B8)="",0,(Sweet!I42 - ProdExpSweet!B8)),0)</f>
        <v>9</v>
      </c>
      <c r="N20" s="53">
        <f>IFERROR(IF((Bitter!I42 - ProdExpBitter!B8)="",0,(Bitter!I42 - ProdExpBitter!B8)),0)</f>
        <v>793</v>
      </c>
      <c r="O20" s="53">
        <f>SUM(M20:N20)</f>
        <v>802</v>
      </c>
      <c r="P20" s="53">
        <f>IFERROR(IF((Sweet!I43  - ProdExpSweet!B9)="",0,(Sweet!I43 - ProdExpSweet!B9)),0)</f>
        <v>8</v>
      </c>
      <c r="Q20" s="53">
        <f>IFERROR(IF((Bitter!I43 - ProdExpBitter!B9)="",0,(Bitter!I43 - ProdExpBitter!B9)),0)</f>
        <v>1074</v>
      </c>
      <c r="R20" s="53">
        <f>SUM(P20:Q20)</f>
        <v>1082</v>
      </c>
      <c r="S20" s="53">
        <f>IFERROR(IF((Sweet!I44  - ProdExpSweet!B10)="",0,(Sweet!I44 - ProdExpSweet!B10)),0)</f>
        <v>18</v>
      </c>
      <c r="T20" s="53">
        <f>IFERROR(IF((Bitter!I44 - ProdExpBitter!B10)="",0,(Bitter!I44 - ProdExpBitter!B10)),0)</f>
        <v>1370</v>
      </c>
      <c r="U20" s="53">
        <f>SUM(S20:T20)</f>
        <v>1388</v>
      </c>
      <c r="V20" s="53">
        <f>IFERROR(IF((Sweet!I45  - ProdExpSweet!B11)="",0,(Sweet!I45 - ProdExpSweet!B11)),0)</f>
        <v>101</v>
      </c>
      <c r="W20" s="53">
        <f>IFERROR(IF((Bitter!I45 - ProdExpBitter!B11)="",0,(Bitter!I45 - ProdExpBitter!B11)),0)</f>
        <v>914</v>
      </c>
      <c r="X20" s="53">
        <f>SUM(V20:W20)</f>
        <v>1015</v>
      </c>
      <c r="Y20" s="53">
        <f>IFERROR(IF((Sweet!I46  - ProdExpSweet!B12)="",0,(Sweet!I46 - ProdExpSweet!B12)),0)</f>
        <v>878</v>
      </c>
      <c r="Z20" s="53">
        <f>IFERROR(IF((Bitter!I46 - ProdExpBitter!B12)="",0,(Bitter!I46 - ProdExpBitter!B12)),0)</f>
        <v>407</v>
      </c>
      <c r="AA20" s="53">
        <f>SUM(Y20:Z20)</f>
        <v>1285</v>
      </c>
      <c r="AB20" s="53">
        <f>IFERROR(IF((Sweet!I47  - ProdExpSweet!B13)="",0,(Sweet!I47 - ProdExpSweet!B13)),0)</f>
        <v>714</v>
      </c>
      <c r="AC20" s="53">
        <f>IFERROR(IF((Bitter!I47 - ProdExpBitter!B13)="",0,(Bitter!I47 - ProdExpBitter!B13)),0)</f>
        <v>291</v>
      </c>
      <c r="AD20" s="53">
        <f>SUM(AB20:AC20)</f>
        <v>1005</v>
      </c>
      <c r="AE20" s="53">
        <f>IFERROR(IF((Sweet!I48  - ProdExpSweet!B14)="",0,(Sweet!I48 - ProdExpSweet!B14)),0)</f>
        <v>470</v>
      </c>
      <c r="AF20" s="53">
        <f>IFERROR(IF((Bitter!I48 - ProdExpBitter!B14)="",0,(Bitter!I48 - ProdExpBitter!B14)),0)</f>
        <v>185</v>
      </c>
      <c r="AG20" s="53">
        <f>SUM(AE20:AF20)</f>
        <v>655</v>
      </c>
      <c r="AH20" s="53">
        <f>IFERROR(IF((Sweet!I49  - ProdExpSweet!B15)="",0,(Sweet!I49 - ProdExpSweet!B15)),0)</f>
        <v>517</v>
      </c>
      <c r="AI20" s="53">
        <f>IFERROR(IF((Bitter!I49 - ProdExpBitter!B15)="",0,(Bitter!I49 - ProdExpBitter!B15)),0)</f>
        <v>424</v>
      </c>
      <c r="AJ20" s="53">
        <f>SUM(AH20:AI20)</f>
        <v>941</v>
      </c>
      <c r="AK20" s="53">
        <f>IFERROR(IF((Sweet!I50  - ProdExpSweet!B16)="",0,(Sweet!I50 - ProdExpSweet!B16)),0)</f>
        <v>633</v>
      </c>
      <c r="AL20" s="53">
        <f>IFERROR(IF((Bitter!I50 - ProdExpBitter!B16)="",0,(Bitter!I50 - ProdExpBitter!B16)),0)</f>
        <v>275</v>
      </c>
      <c r="AM20" s="53">
        <f>SUM(AK20:AL20)</f>
        <v>908</v>
      </c>
      <c r="AN20" s="53">
        <f t="shared" ref="AN20:AO24" si="4">D20+G20+J20+M20+P20+S20+V20+Y20+AB20+AE20+AH20+AK20</f>
        <v>3614</v>
      </c>
      <c r="AO20" s="53">
        <f t="shared" si="4"/>
        <v>8092</v>
      </c>
      <c r="AP20" s="53">
        <f>SUM(AN20:AO20)</f>
        <v>11706</v>
      </c>
      <c r="AQ20" s="33" t="s">
        <v>117</v>
      </c>
      <c r="AR20" s="38"/>
      <c r="AS20" s="41"/>
    </row>
    <row r="21" spans="1:45" ht="27.75" customHeight="1" x14ac:dyDescent="0.5">
      <c r="A21" s="22"/>
      <c r="B21" s="8"/>
      <c r="C21" s="21" t="s">
        <v>118</v>
      </c>
      <c r="D21" s="55">
        <f>IFERROR(IF((Sweet!J39 - ProdExpSweet!C5)="",0,(Sweet!J39 - ProdExpSweet!C5)),0)</f>
        <v>654</v>
      </c>
      <c r="E21" s="55">
        <f>IFERROR(IF((Bitter!J39 - ProdExpBitter!C5)="",0,(Bitter!J39 - ProdExpBitter!C5)),0)</f>
        <v>2390</v>
      </c>
      <c r="F21" s="55">
        <f>SUM(D21:E21)</f>
        <v>3044</v>
      </c>
      <c r="G21" s="55">
        <f>IFERROR(IF((Sweet!J40 - ProdExpSweet!C6)="",0,(Sweet!J40 - ProdExpSweet!C6)),0)</f>
        <v>1224</v>
      </c>
      <c r="H21" s="55">
        <f>IFERROR(IF((Bitter!J40 - ProdExpBitter!C6)="",0,(Bitter!J40 - ProdExpBitter!C6)),0)</f>
        <v>2222</v>
      </c>
      <c r="I21" s="55">
        <f>SUM(G21:H21)</f>
        <v>3446</v>
      </c>
      <c r="J21" s="55">
        <f>IFERROR(IF((Sweet!J41 - ProdExpSweet!C7)="",0,(Sweet!J41 - ProdExpSweet!C7)),0)</f>
        <v>4180</v>
      </c>
      <c r="K21" s="55">
        <f>IFERROR(IF((Bitter!J41 - ProdExpBitter!C7)="",0,(Bitter!J41 - ProdExpBitter!C7)),0)</f>
        <v>715</v>
      </c>
      <c r="L21" s="55">
        <f>SUM(J21:K21)</f>
        <v>4895</v>
      </c>
      <c r="M21" s="55">
        <f>IFERROR(IF((Sweet!J42 - ProdExpSweet!C8)="",0,(Sweet!J42 - ProdExpSweet!C8)),0)</f>
        <v>1639</v>
      </c>
      <c r="N21" s="55">
        <f>IFERROR(IF((Bitter!J42 - ProdExpBitter!C8)="",0,(Bitter!J42 - ProdExpBitter!C8)),0)</f>
        <v>4095</v>
      </c>
      <c r="O21" s="55">
        <f>SUM(M21:N21)</f>
        <v>5734</v>
      </c>
      <c r="P21" s="55">
        <f>IFERROR(IF((Sweet!J43 - ProdExpSweet!C9)="",0,(Sweet!J43 - ProdExpSweet!C9)),0)</f>
        <v>1042</v>
      </c>
      <c r="Q21" s="55">
        <f>IFERROR(IF((Bitter!J43 - ProdExpBitter!C9)="",0,(Bitter!J43 - ProdExpBitter!C9)),0)</f>
        <v>2352</v>
      </c>
      <c r="R21" s="55">
        <f>SUM(P21:Q21)</f>
        <v>3394</v>
      </c>
      <c r="S21" s="55">
        <f>IFERROR(IF((Sweet!J44 - ProdExpSweet!C10)="",0,(Sweet!J44 - ProdExpSweet!C10)),0)</f>
        <v>3578</v>
      </c>
      <c r="T21" s="55">
        <f>IFERROR(IF((Bitter!J44 - ProdExpBitter!C10)="",0,(Bitter!J44 - ProdExpBitter!C10)),0)</f>
        <v>1099</v>
      </c>
      <c r="U21" s="55">
        <f>SUM(S21:T21)</f>
        <v>4677</v>
      </c>
      <c r="V21" s="55">
        <f>IFERROR(IF((Sweet!J45 - ProdExpSweet!C11)="",0,(Sweet!J45 - ProdExpSweet!C11)),0)</f>
        <v>3904</v>
      </c>
      <c r="W21" s="55">
        <f>IFERROR(IF((Bitter!J45 - ProdExpBitter!C11)="",0,(Bitter!J45 - ProdExpBitter!C11)),0)</f>
        <v>315</v>
      </c>
      <c r="X21" s="55">
        <f>SUM(V21:W21)</f>
        <v>4219</v>
      </c>
      <c r="Y21" s="55">
        <f>IFERROR(IF((Sweet!J46 - ProdExpSweet!C12)="",0,(Sweet!J46 - ProdExpSweet!C12)),0)</f>
        <v>3461</v>
      </c>
      <c r="Z21" s="55">
        <f>IFERROR(IF((Bitter!J46 - ProdExpBitter!C12)="",0,(Bitter!J46 - ProdExpBitter!C12)),0)</f>
        <v>1313</v>
      </c>
      <c r="AA21" s="55">
        <f>SUM(Y21:Z21)</f>
        <v>4774</v>
      </c>
      <c r="AB21" s="55">
        <f>IFERROR(IF((Sweet!J47 - ProdExpSweet!C13)="",0,(Sweet!J47 - ProdExpSweet!C13)),0)</f>
        <v>3053</v>
      </c>
      <c r="AC21" s="55">
        <f>IFERROR(IF((Bitter!J47 - ProdExpBitter!C13)="",0,(Bitter!J47 - ProdExpBitter!C13)),0)</f>
        <v>1712</v>
      </c>
      <c r="AD21" s="55">
        <f>SUM(AB21:AC21)</f>
        <v>4765</v>
      </c>
      <c r="AE21" s="55">
        <f>IFERROR(IF((Sweet!J48 - ProdExpSweet!C14)="",0,(Sweet!J48 - ProdExpSweet!C14)),0)</f>
        <v>875</v>
      </c>
      <c r="AF21" s="55">
        <f>IFERROR(IF((Bitter!J48 - ProdExpBitter!C14)="",0,(Bitter!J48 - ProdExpBitter!C14)),0)</f>
        <v>2805</v>
      </c>
      <c r="AG21" s="55">
        <f>SUM(AE21:AF21)</f>
        <v>3680</v>
      </c>
      <c r="AH21" s="55">
        <f>IFERROR(IF((Sweet!J49 - ProdExpSweet!C15)="",0,(Sweet!J49 - ProdExpSweet!C15)),0)</f>
        <v>1173</v>
      </c>
      <c r="AI21" s="55">
        <f>IFERROR(IF((Bitter!J49 - ProdExpBitter!C15)="",0,(Bitter!J49 - ProdExpBitter!C15)),0)</f>
        <v>3298</v>
      </c>
      <c r="AJ21" s="55">
        <f>SUM(AH21:AI21)</f>
        <v>4471</v>
      </c>
      <c r="AK21" s="55">
        <f>IFERROR(IF((Sweet!J50 - ProdExpSweet!C16)="",0,(Sweet!J50 - ProdExpSweet!C16)),0)</f>
        <v>3735</v>
      </c>
      <c r="AL21" s="55">
        <f>IFERROR(IF((Bitter!J50 - ProdExpBitter!C16)="",0,(Bitter!J50 - ProdExpBitter!C16)),0)</f>
        <v>192</v>
      </c>
      <c r="AM21" s="55">
        <f>SUM(AK21:AL21)</f>
        <v>3927</v>
      </c>
      <c r="AN21" s="55">
        <f t="shared" si="4"/>
        <v>28518</v>
      </c>
      <c r="AO21" s="55">
        <f t="shared" si="4"/>
        <v>22508</v>
      </c>
      <c r="AP21" s="55">
        <f>SUM(AN21:AO21)</f>
        <v>51026</v>
      </c>
      <c r="AQ21" s="34" t="s">
        <v>119</v>
      </c>
      <c r="AR21" s="38"/>
      <c r="AS21" s="41"/>
    </row>
    <row r="22" spans="1:45" ht="27.75" customHeight="1" x14ac:dyDescent="0.5">
      <c r="A22" s="22"/>
      <c r="B22" s="8"/>
      <c r="C22" s="21" t="s">
        <v>120</v>
      </c>
      <c r="D22" s="55">
        <f>IFERROR(IF((Sweet!K39 - ProdExpSweet!D5)="",0,(Sweet!K39 - ProdExpSweet!D5)),0)</f>
        <v>8360</v>
      </c>
      <c r="E22" s="55">
        <f>IFERROR(IF((Bitter!K39 - ProdExpBitter!D5)="",0,(Bitter!K39 - ProdExpBitter!D5)),0)</f>
        <v>56</v>
      </c>
      <c r="F22" s="55">
        <f>SUM(D22:E22)</f>
        <v>8416</v>
      </c>
      <c r="G22" s="55">
        <f>IFERROR(IF((Sweet!K40 - ProdExpSweet!D6)="",0,(Sweet!K40 - ProdExpSweet!D6)),0)</f>
        <v>8110</v>
      </c>
      <c r="H22" s="55">
        <f>IFERROR(IF((Bitter!K40 - ProdExpBitter!D6)="",0,(Bitter!K40 - ProdExpBitter!D6)),0)</f>
        <v>75</v>
      </c>
      <c r="I22" s="55">
        <f>SUM(G22:H22)</f>
        <v>8185</v>
      </c>
      <c r="J22" s="55">
        <f>IFERROR(IF((Sweet!K41 - ProdExpSweet!D7)="",0,(Sweet!K41 - ProdExpSweet!D7)),0)</f>
        <v>8004</v>
      </c>
      <c r="K22" s="55">
        <f>IFERROR(IF((Bitter!K41 - ProdExpBitter!D7)="",0,(Bitter!K41 - ProdExpBitter!D7)),0)</f>
        <v>54</v>
      </c>
      <c r="L22" s="55">
        <f>SUM(J22:K22)</f>
        <v>8058</v>
      </c>
      <c r="M22" s="55">
        <f>IFERROR(IF((Sweet!K42 - ProdExpSweet!D8)="",0,(Sweet!K42 - ProdExpSweet!D8)),0)</f>
        <v>9179</v>
      </c>
      <c r="N22" s="55">
        <f>IFERROR(IF((Bitter!K42 - ProdExpBitter!D8)="",0,(Bitter!K42 - ProdExpBitter!D8)),0)</f>
        <v>16</v>
      </c>
      <c r="O22" s="55">
        <f>SUM(M22:N22)</f>
        <v>9195</v>
      </c>
      <c r="P22" s="55">
        <f>IFERROR(IF((Sweet!K43 - ProdExpSweet!D9)="",0,(Sweet!K43 - ProdExpSweet!D9)),0)</f>
        <v>7957</v>
      </c>
      <c r="Q22" s="55">
        <f>IFERROR(IF((Bitter!K43 - ProdExpBitter!D9)="",0,(Bitter!K43 - ProdExpBitter!D9)),0)</f>
        <v>68</v>
      </c>
      <c r="R22" s="55">
        <f>SUM(P22:Q22)</f>
        <v>8025</v>
      </c>
      <c r="S22" s="55">
        <f>IFERROR(IF((Sweet!K44 - ProdExpSweet!D10)="",0,(Sweet!K44 - ProdExpSweet!D10)),0)</f>
        <v>7965</v>
      </c>
      <c r="T22" s="55">
        <f>IFERROR(IF((Bitter!K44 - ProdExpBitter!D10)="",0,(Bitter!K44 - ProdExpBitter!D10)),0)</f>
        <v>0</v>
      </c>
      <c r="U22" s="55">
        <f>SUM(S22:T22)</f>
        <v>7965</v>
      </c>
      <c r="V22" s="55">
        <f>IFERROR(IF((Sweet!K45 - ProdExpSweet!D11)="",0,(Sweet!K45 - ProdExpSweet!D11)),0)</f>
        <v>8379</v>
      </c>
      <c r="W22" s="55">
        <f>IFERROR(IF((Bitter!K45 - ProdExpBitter!D11)="",0,(Bitter!K45 - ProdExpBitter!D11)),0)</f>
        <v>129</v>
      </c>
      <c r="X22" s="55">
        <f>SUM(V22:W22)</f>
        <v>8508</v>
      </c>
      <c r="Y22" s="55">
        <f>IFERROR(IF((Sweet!K46 - ProdExpSweet!D12)="",0,(Sweet!K46 - ProdExpSweet!D12)),0)</f>
        <v>8123</v>
      </c>
      <c r="Z22" s="55">
        <f>IFERROR(IF((Bitter!K46 - ProdExpBitter!D12)="",0,(Bitter!K46 - ProdExpBitter!D12)),0)</f>
        <v>104</v>
      </c>
      <c r="AA22" s="55">
        <f>SUM(Y22:Z22)</f>
        <v>8227</v>
      </c>
      <c r="AB22" s="55">
        <f>IFERROR(IF((Sweet!K47 - ProdExpSweet!D13)="",0,(Sweet!K47 - ProdExpSweet!D13)),0)</f>
        <v>9412</v>
      </c>
      <c r="AC22" s="55">
        <f>IFERROR(IF((Bitter!K47 - ProdExpBitter!D13)="",0,(Bitter!K47 - ProdExpBitter!D13)),0)</f>
        <v>4</v>
      </c>
      <c r="AD22" s="55">
        <f>SUM(AB22:AC22)</f>
        <v>9416</v>
      </c>
      <c r="AE22" s="55">
        <f>IFERROR(IF((Sweet!K48 - ProdExpSweet!D14)="",0,(Sweet!K48 - ProdExpSweet!D14)),0)</f>
        <v>7745</v>
      </c>
      <c r="AF22" s="55">
        <f>IFERROR(IF((Bitter!K48 - ProdExpBitter!D14)="",0,(Bitter!K48 - ProdExpBitter!D14)),0)</f>
        <v>3</v>
      </c>
      <c r="AG22" s="55">
        <f>SUM(AE22:AF22)</f>
        <v>7748</v>
      </c>
      <c r="AH22" s="55">
        <f>IFERROR(IF((Sweet!K49 - ProdExpSweet!D15)="",0,(Sweet!K49 - ProdExpSweet!D15)),0)</f>
        <v>6951</v>
      </c>
      <c r="AI22" s="55">
        <f>IFERROR(IF((Bitter!K49 - ProdExpBitter!D15)="",0,(Bitter!K49 - ProdExpBitter!D15)),0)</f>
        <v>0</v>
      </c>
      <c r="AJ22" s="55">
        <f>SUM(AH22:AI22)</f>
        <v>6951</v>
      </c>
      <c r="AK22" s="55">
        <f>IFERROR(IF((Sweet!K50 - ProdExpSweet!D16)="",0,(Sweet!K50 - ProdExpSweet!D16)),0)</f>
        <v>7178</v>
      </c>
      <c r="AL22" s="55">
        <f>IFERROR(IF((Bitter!K50 - ProdExpBitter!D16)="",0,(Bitter!K50 - ProdExpBitter!D16)),0)</f>
        <v>0</v>
      </c>
      <c r="AM22" s="55">
        <f>SUM(AK22:AL22)</f>
        <v>7178</v>
      </c>
      <c r="AN22" s="55">
        <f t="shared" si="4"/>
        <v>97363</v>
      </c>
      <c r="AO22" s="55">
        <f t="shared" si="4"/>
        <v>509</v>
      </c>
      <c r="AP22" s="55">
        <f>SUM(AN22:AO22)</f>
        <v>97872</v>
      </c>
      <c r="AQ22" s="34" t="s">
        <v>121</v>
      </c>
      <c r="AR22" s="38"/>
      <c r="AS22" s="41"/>
    </row>
    <row r="23" spans="1:45" ht="27.75" customHeight="1" x14ac:dyDescent="0.5">
      <c r="A23" s="22"/>
      <c r="B23" s="8"/>
      <c r="C23" s="21" t="s">
        <v>122</v>
      </c>
      <c r="D23" s="55">
        <f>IFERROR(IF((Sweet!L39 - ProdExpSweet!E5)="",0,(Sweet!L39 - ProdExpSweet!E5)),0)</f>
        <v>0</v>
      </c>
      <c r="E23" s="55">
        <f>IFERROR(IF((Bitter!L39 - ProdExpBitter!E5)="",0,(Bitter!L39 - ProdExpBitter!E5)),0)</f>
        <v>0</v>
      </c>
      <c r="F23" s="55">
        <f>SUM(D23:E23)</f>
        <v>0</v>
      </c>
      <c r="G23" s="55">
        <f>IFERROR(IF((Sweet!L40 - ProdExpSweet!E6)="",0,(Sweet!L40 - ProdExpSweet!E6)),0)</f>
        <v>0</v>
      </c>
      <c r="H23" s="55">
        <f>IFERROR(IF((Bitter!L40 - ProdExpBitter!E6)="",0,(Bitter!L40 - ProdExpBitter!E6)),0)</f>
        <v>0</v>
      </c>
      <c r="I23" s="55">
        <f>SUM(G23:H23)</f>
        <v>0</v>
      </c>
      <c r="J23" s="55">
        <f>IFERROR(IF((Sweet!L41 - ProdExpSweet!E7)="",0,(Sweet!L41 - ProdExpSweet!E7)),0)</f>
        <v>0</v>
      </c>
      <c r="K23" s="55">
        <f>IFERROR(IF((Bitter!L41 - ProdExpBitter!E7)="",0,(Bitter!L41 - ProdExpBitter!E7)),0)</f>
        <v>0</v>
      </c>
      <c r="L23" s="55">
        <f>SUM(J23:K23)</f>
        <v>0</v>
      </c>
      <c r="M23" s="55">
        <f>IFERROR(IF((Sweet!L42 - ProdExpSweet!E8)="",0,(Sweet!L42 - ProdExpSweet!E8)),0)</f>
        <v>0</v>
      </c>
      <c r="N23" s="55">
        <f>IFERROR(IF((Bitter!L42 - ProdExpBitter!E8)="",0,(Bitter!L42 - ProdExpBitter!E8)),0)</f>
        <v>0</v>
      </c>
      <c r="O23" s="55">
        <f>SUM(M23:N23)</f>
        <v>0</v>
      </c>
      <c r="P23" s="55">
        <f>IFERROR(IF((Sweet!L43 - ProdExpSweet!E9)="",0,(Sweet!L43 - ProdExpSweet!E9)),0)</f>
        <v>0</v>
      </c>
      <c r="Q23" s="55">
        <f>IFERROR(IF((Bitter!L43 - ProdExpBitter!E9)="",0,(Bitter!L43 - ProdExpBitter!E9)),0)</f>
        <v>0</v>
      </c>
      <c r="R23" s="55">
        <f>SUM(P23:Q23)</f>
        <v>0</v>
      </c>
      <c r="S23" s="55">
        <f>IFERROR(IF((Sweet!L44 - ProdExpSweet!E10)="",0,(Sweet!L44 - ProdExpSweet!E10)),0)</f>
        <v>0</v>
      </c>
      <c r="T23" s="55">
        <f>IFERROR(IF((Bitter!L44 - ProdExpBitter!E10)="",0,(Bitter!L44 - ProdExpBitter!E10)),0)</f>
        <v>0</v>
      </c>
      <c r="U23" s="55">
        <f>SUM(S23:T23)</f>
        <v>0</v>
      </c>
      <c r="V23" s="55">
        <f>IFERROR(IF((Sweet!L45 - ProdExpSweet!E11)="",0,(Sweet!L45 - ProdExpSweet!E11)),0)</f>
        <v>0</v>
      </c>
      <c r="W23" s="55">
        <f>IFERROR(IF((Bitter!L45 - ProdExpBitter!E11)="",0,(Bitter!L45 - ProdExpBitter!E11)),0)</f>
        <v>0</v>
      </c>
      <c r="X23" s="55">
        <f>SUM(V23:W23)</f>
        <v>0</v>
      </c>
      <c r="Y23" s="55">
        <f>IFERROR(IF((Sweet!L46 - ProdExpSweet!E12)="",0,(Sweet!L46 - ProdExpSweet!E12)),0)</f>
        <v>0</v>
      </c>
      <c r="Z23" s="55">
        <f>IFERROR(IF((Bitter!L46 - ProdExpBitter!E12)="",0,(Bitter!L46 - ProdExpBitter!E12)),0)</f>
        <v>0</v>
      </c>
      <c r="AA23" s="55">
        <f>SUM(Y23:Z23)</f>
        <v>0</v>
      </c>
      <c r="AB23" s="55">
        <f>IFERROR(IF((Sweet!L47 - ProdExpSweet!E13)="",0,(Sweet!L47 - ProdExpSweet!E13)),0)</f>
        <v>0</v>
      </c>
      <c r="AC23" s="55">
        <f>IFERROR(IF((Bitter!L47 - ProdExpBitter!E13)="",0,(Bitter!L47 - ProdExpBitter!E13)),0)</f>
        <v>0</v>
      </c>
      <c r="AD23" s="55">
        <f>SUM(AB23:AC23)</f>
        <v>0</v>
      </c>
      <c r="AE23" s="55">
        <f>IFERROR(IF((Sweet!L48 - ProdExpSweet!E14)="",0,(Sweet!L48 - ProdExpSweet!E14)),0)</f>
        <v>0</v>
      </c>
      <c r="AF23" s="55">
        <f>IFERROR(IF((Bitter!L48 - ProdExpBitter!E14)="",0,(Bitter!L48 - ProdExpBitter!E14)),0)</f>
        <v>0</v>
      </c>
      <c r="AG23" s="55">
        <f>SUM(AE23:AF23)</f>
        <v>0</v>
      </c>
      <c r="AH23" s="55">
        <f>IFERROR(IF((Sweet!L49 - ProdExpSweet!E15)="",0,(Sweet!L49 - ProdExpSweet!E15)),0)</f>
        <v>0</v>
      </c>
      <c r="AI23" s="55">
        <f>IFERROR(IF((Bitter!L49 - ProdExpBitter!E15)="",0,(Bitter!L49 - ProdExpBitter!E15)),0)</f>
        <v>0</v>
      </c>
      <c r="AJ23" s="55">
        <f>SUM(AH23:AI23)</f>
        <v>0</v>
      </c>
      <c r="AK23" s="55">
        <f>IFERROR(IF((Sweet!L50 - ProdExpSweet!E16)="",0,(Sweet!L50 - ProdExpSweet!E16)),0)</f>
        <v>0</v>
      </c>
      <c r="AL23" s="55">
        <f>IFERROR(IF((Bitter!L50 - ProdExpBitter!E16)="",0,(Bitter!L50 - ProdExpBitter!E16)),0)</f>
        <v>0</v>
      </c>
      <c r="AM23" s="55">
        <f>SUM(AK23:AL23)</f>
        <v>0</v>
      </c>
      <c r="AN23" s="55">
        <f t="shared" si="4"/>
        <v>0</v>
      </c>
      <c r="AO23" s="55">
        <f t="shared" si="4"/>
        <v>0</v>
      </c>
      <c r="AP23" s="55">
        <f>SUM(AN23:AO23)</f>
        <v>0</v>
      </c>
      <c r="AQ23" s="34" t="s">
        <v>123</v>
      </c>
      <c r="AR23" s="38"/>
      <c r="AS23" s="41"/>
    </row>
    <row r="24" spans="1:45" ht="27.75" customHeight="1" x14ac:dyDescent="0.5">
      <c r="A24" s="22"/>
      <c r="B24" s="8"/>
      <c r="C24" s="16" t="s">
        <v>124</v>
      </c>
      <c r="D24" s="54">
        <f>IFERROR(IF((Sweet!M39 - ProdExpSweet!F5)="",0,(Sweet!M39 - ProdExpSweet!F5)),0)</f>
        <v>0</v>
      </c>
      <c r="E24" s="54">
        <f>IFERROR(IF((Bitter!M39 - ProdExpBitter!F5)="",0,(Bitter!M39 - ProdExpBitter!F5)),0)</f>
        <v>0</v>
      </c>
      <c r="F24" s="54">
        <f>SUM(D24:E24)</f>
        <v>0</v>
      </c>
      <c r="G24" s="54">
        <f>IFERROR(IF((Sweet!M40 - ProdExpSweet!F6)="",0,(Sweet!M40 - ProdExpSweet!F6)),0)</f>
        <v>0</v>
      </c>
      <c r="H24" s="54">
        <f>IFERROR(IF((Bitter!M40 - ProdExpBitter!F6)="",0,(Bitter!M40 - ProdExpBitter!F6)),0)</f>
        <v>0</v>
      </c>
      <c r="I24" s="54">
        <f>SUM(G24:H24)</f>
        <v>0</v>
      </c>
      <c r="J24" s="54">
        <f>IFERROR(IF((Sweet!M41 - ProdExpSweet!F7)="",0,(Sweet!M41 - ProdExpSweet!F7)),0)</f>
        <v>0</v>
      </c>
      <c r="K24" s="54">
        <f>IFERROR(IF((Bitter!M41 - ProdExpBitter!F7)="",0,(Bitter!M41 - ProdExpBitter!F7)),0)</f>
        <v>0</v>
      </c>
      <c r="L24" s="54">
        <f>SUM(J24:K24)</f>
        <v>0</v>
      </c>
      <c r="M24" s="54">
        <f>IFERROR(IF((Sweet!M42 - ProdExpSweet!F8)="",0,(Sweet!M42 - ProdExpSweet!F8)),0)</f>
        <v>0</v>
      </c>
      <c r="N24" s="54">
        <f>IFERROR(IF((Bitter!M42 - ProdExpBitter!F8)="",0,(Bitter!M42 - ProdExpBitter!F8)),0)</f>
        <v>0</v>
      </c>
      <c r="O24" s="54">
        <f>SUM(M24:N24)</f>
        <v>0</v>
      </c>
      <c r="P24" s="54">
        <f>IFERROR(IF((Sweet!M43 - ProdExpSweet!F9)="",0,(Sweet!M43 - ProdExpSweet!F9)),0)</f>
        <v>0</v>
      </c>
      <c r="Q24" s="54">
        <f>IFERROR(IF((Bitter!M43 - ProdExpBitter!F9)="",0,(Bitter!M43 - ProdExpBitter!F9)),0)</f>
        <v>0</v>
      </c>
      <c r="R24" s="54">
        <f>SUM(P24:Q24)</f>
        <v>0</v>
      </c>
      <c r="S24" s="54">
        <f>IFERROR(IF((Sweet!M44 - ProdExpSweet!F10)="",0,(Sweet!M44 - ProdExpSweet!F10)),0)</f>
        <v>0</v>
      </c>
      <c r="T24" s="54">
        <f>IFERROR(IF((Bitter!M44 - ProdExpBitter!F10)="",0,(Bitter!M44 - ProdExpBitter!F10)),0)</f>
        <v>0</v>
      </c>
      <c r="U24" s="54">
        <f>SUM(S24:T24)</f>
        <v>0</v>
      </c>
      <c r="V24" s="54">
        <f>IFERROR(IF((Sweet!M45 - ProdExpSweet!F11)="",0,(Sweet!M45 - ProdExpSweet!F11)),0)</f>
        <v>0</v>
      </c>
      <c r="W24" s="54">
        <f>IFERROR(IF((Bitter!M45 - ProdExpBitter!F11)="",0,(Bitter!M45 - ProdExpBitter!F11)),0)</f>
        <v>0</v>
      </c>
      <c r="X24" s="54">
        <f>SUM(V24:W24)</f>
        <v>0</v>
      </c>
      <c r="Y24" s="54">
        <f>IFERROR(IF((Sweet!M46 - ProdExpSweet!F12)="",0,(Sweet!M46 - ProdExpSweet!F12)),0)</f>
        <v>0</v>
      </c>
      <c r="Z24" s="54">
        <f>IFERROR(IF((Bitter!M46 - ProdExpBitter!F12)="",0,(Bitter!M46 - ProdExpBitter!F12)),0)</f>
        <v>0</v>
      </c>
      <c r="AA24" s="54">
        <f>SUM(Y24:Z24)</f>
        <v>0</v>
      </c>
      <c r="AB24" s="54">
        <f>IFERROR(IF((Sweet!M47 - ProdExpSweet!F13)="",0,(Sweet!M47 - ProdExpSweet!F13)),0)</f>
        <v>0</v>
      </c>
      <c r="AC24" s="54">
        <f>IFERROR(IF((Bitter!M47 - ProdExpBitter!F13)="",0,(Bitter!M47 - ProdExpBitter!F13)),0)</f>
        <v>0</v>
      </c>
      <c r="AD24" s="54">
        <f>SUM(AB24:AC24)</f>
        <v>0</v>
      </c>
      <c r="AE24" s="54">
        <f>IFERROR(IF((Sweet!M48 - ProdExpSweet!F14)="",0,(Sweet!M48 - ProdExpSweet!F14)),0)</f>
        <v>0</v>
      </c>
      <c r="AF24" s="54">
        <f>IFERROR(IF((Bitter!M48 - ProdExpBitter!F14)="",0,(Bitter!M48 - ProdExpBitter!F14)),0)</f>
        <v>0</v>
      </c>
      <c r="AG24" s="54">
        <f>SUM(AE24:AF24)</f>
        <v>0</v>
      </c>
      <c r="AH24" s="54">
        <f>IFERROR(IF((Sweet!M49 - ProdExpSweet!F15)="",0,(Sweet!M49 - ProdExpSweet!F15)),0)</f>
        <v>0</v>
      </c>
      <c r="AI24" s="54">
        <f>IFERROR(IF((Bitter!M49 - ProdExpBitter!F15)="",0,(Bitter!M49 - ProdExpBitter!F15)),0)</f>
        <v>0</v>
      </c>
      <c r="AJ24" s="54">
        <f>SUM(AH24:AI24)</f>
        <v>0</v>
      </c>
      <c r="AK24" s="54">
        <f>IFERROR(IF((Sweet!M50 - ProdExpSweet!F16)="",0,(Sweet!M50 - ProdExpSweet!F16)),0)</f>
        <v>0</v>
      </c>
      <c r="AL24" s="54">
        <f>IFERROR(IF((Bitter!M50 - ProdExpBitter!F16)="",0,(Bitter!M50 - ProdExpBitter!F16)),0)</f>
        <v>0</v>
      </c>
      <c r="AM24" s="54">
        <f>SUM(AK24:AL24)</f>
        <v>0</v>
      </c>
      <c r="AN24" s="54">
        <f t="shared" si="4"/>
        <v>0</v>
      </c>
      <c r="AO24" s="54">
        <f t="shared" si="4"/>
        <v>0</v>
      </c>
      <c r="AP24" s="54">
        <f>SUM(AN24:AO24)</f>
        <v>0</v>
      </c>
      <c r="AQ24" s="35" t="s">
        <v>125</v>
      </c>
      <c r="AR24" s="38"/>
      <c r="AS24" s="41"/>
    </row>
    <row r="25" spans="1:45" ht="27.75" customHeight="1" x14ac:dyDescent="0.5">
      <c r="A25" s="22"/>
      <c r="B25" s="8"/>
      <c r="C25" s="13" t="s">
        <v>126</v>
      </c>
      <c r="D25" s="52">
        <f t="shared" ref="D25:AP25" si="5">SUM(D26:D28)</f>
        <v>542</v>
      </c>
      <c r="E25" s="52">
        <f t="shared" si="5"/>
        <v>276</v>
      </c>
      <c r="F25" s="52">
        <f t="shared" si="5"/>
        <v>818</v>
      </c>
      <c r="G25" s="52">
        <f t="shared" si="5"/>
        <v>459</v>
      </c>
      <c r="H25" s="52">
        <f t="shared" si="5"/>
        <v>408</v>
      </c>
      <c r="I25" s="52">
        <f t="shared" si="5"/>
        <v>867</v>
      </c>
      <c r="J25" s="52">
        <f t="shared" si="5"/>
        <v>608</v>
      </c>
      <c r="K25" s="52">
        <f t="shared" si="5"/>
        <v>221</v>
      </c>
      <c r="L25" s="52">
        <f t="shared" si="5"/>
        <v>829</v>
      </c>
      <c r="M25" s="52">
        <f t="shared" si="5"/>
        <v>572</v>
      </c>
      <c r="N25" s="52">
        <f t="shared" si="5"/>
        <v>152</v>
      </c>
      <c r="O25" s="52">
        <f t="shared" si="5"/>
        <v>724</v>
      </c>
      <c r="P25" s="52">
        <f t="shared" si="5"/>
        <v>665</v>
      </c>
      <c r="Q25" s="52">
        <f t="shared" si="5"/>
        <v>100</v>
      </c>
      <c r="R25" s="52">
        <f t="shared" si="5"/>
        <v>765</v>
      </c>
      <c r="S25" s="52">
        <f t="shared" si="5"/>
        <v>609</v>
      </c>
      <c r="T25" s="52">
        <f t="shared" si="5"/>
        <v>270</v>
      </c>
      <c r="U25" s="52">
        <f t="shared" si="5"/>
        <v>879</v>
      </c>
      <c r="V25" s="52">
        <f t="shared" si="5"/>
        <v>434</v>
      </c>
      <c r="W25" s="52">
        <f t="shared" si="5"/>
        <v>361</v>
      </c>
      <c r="X25" s="52">
        <f t="shared" si="5"/>
        <v>795</v>
      </c>
      <c r="Y25" s="52">
        <f t="shared" si="5"/>
        <v>687</v>
      </c>
      <c r="Z25" s="52">
        <f t="shared" si="5"/>
        <v>153</v>
      </c>
      <c r="AA25" s="52">
        <f t="shared" si="5"/>
        <v>840</v>
      </c>
      <c r="AB25" s="52">
        <f t="shared" si="5"/>
        <v>1064</v>
      </c>
      <c r="AC25" s="52">
        <f t="shared" si="5"/>
        <v>171</v>
      </c>
      <c r="AD25" s="52">
        <f t="shared" si="5"/>
        <v>1235</v>
      </c>
      <c r="AE25" s="52">
        <f t="shared" si="5"/>
        <v>410</v>
      </c>
      <c r="AF25" s="52">
        <f t="shared" si="5"/>
        <v>135</v>
      </c>
      <c r="AG25" s="52">
        <f t="shared" si="5"/>
        <v>545</v>
      </c>
      <c r="AH25" s="52">
        <f t="shared" si="5"/>
        <v>610</v>
      </c>
      <c r="AI25" s="52">
        <f t="shared" si="5"/>
        <v>159</v>
      </c>
      <c r="AJ25" s="52">
        <f t="shared" si="5"/>
        <v>769</v>
      </c>
      <c r="AK25" s="52">
        <f t="shared" si="5"/>
        <v>598</v>
      </c>
      <c r="AL25" s="52">
        <f t="shared" si="5"/>
        <v>47</v>
      </c>
      <c r="AM25" s="52">
        <f t="shared" si="5"/>
        <v>645</v>
      </c>
      <c r="AN25" s="52">
        <f t="shared" si="5"/>
        <v>7258</v>
      </c>
      <c r="AO25" s="52">
        <f t="shared" si="5"/>
        <v>2453</v>
      </c>
      <c r="AP25" s="52">
        <f t="shared" si="5"/>
        <v>9711</v>
      </c>
      <c r="AQ25" s="32" t="s">
        <v>127</v>
      </c>
      <c r="AR25" s="38"/>
      <c r="AS25" s="41"/>
    </row>
    <row r="26" spans="1:45" ht="27.75" customHeight="1" x14ac:dyDescent="0.5">
      <c r="A26" s="22"/>
      <c r="B26" s="8"/>
      <c r="C26" s="15" t="s">
        <v>128</v>
      </c>
      <c r="D26" s="53">
        <f>IFERROR(IF((Sweet!N39 - ProdExpSweet!G5)="",0,(Sweet!N39 - ProdExpSweet!G5)),0)</f>
        <v>92</v>
      </c>
      <c r="E26" s="53">
        <f>IFERROR(IF((Bitter!M39 - ProdExpBitter!G5)="",0,(Bitter!N39 - ProdExpBitter!G5)),0)</f>
        <v>0</v>
      </c>
      <c r="F26" s="53">
        <f t="shared" ref="F26:F31" si="6">SUM(D26:E26)</f>
        <v>92</v>
      </c>
      <c r="G26" s="53">
        <f>IFERROR(IF((Sweet!N40 - ProdExpSweet!G6)="",0,(Sweet!N40 - ProdExpSweet!G6)),0)</f>
        <v>59</v>
      </c>
      <c r="H26" s="53">
        <f>IFERROR(IF((Bitter!M40 - ProdExpBitter!G6)="",0,(Bitter!N40 - ProdExpBitter!G6)),0)</f>
        <v>32</v>
      </c>
      <c r="I26" s="53">
        <f t="shared" ref="I26:I31" si="7">SUM(G26:H26)</f>
        <v>91</v>
      </c>
      <c r="J26" s="53">
        <f>IFERROR(IF((Sweet!N41 - ProdExpSweet!G7)="",0,(Sweet!N41 - ProdExpSweet!G7)),0)</f>
        <v>44</v>
      </c>
      <c r="K26" s="53">
        <f>IFERROR(IF((Bitter!M41 - ProdExpBitter!G7)="",0,(Bitter!N41 - ProdExpBitter!G7)),0)</f>
        <v>32</v>
      </c>
      <c r="L26" s="53">
        <f t="shared" ref="L26:L31" si="8">SUM(J26:K26)</f>
        <v>76</v>
      </c>
      <c r="M26" s="53">
        <f>IFERROR(IF((Sweet!N42 - ProdExpSweet!G8)="",0,(Sweet!N42 - ProdExpSweet!G8)),0)</f>
        <v>99</v>
      </c>
      <c r="N26" s="53">
        <f>IFERROR(IF((Bitter!M42 - ProdExpBitter!G8)="",0,(Bitter!N42 - ProdExpBitter!G8)),0)</f>
        <v>0</v>
      </c>
      <c r="O26" s="53">
        <f t="shared" ref="O26:O31" si="9">SUM(M26:N26)</f>
        <v>99</v>
      </c>
      <c r="P26" s="53">
        <f>IFERROR(IF((Sweet!N43 - ProdExpSweet!G9)="",0,(Sweet!N43 - ProdExpSweet!G9)),0)</f>
        <v>88</v>
      </c>
      <c r="Q26" s="53">
        <f>IFERROR(IF((Bitter!M43 - ProdExpBitter!G9)="",0,(Bitter!N43 - ProdExpBitter!G9)),0)</f>
        <v>0</v>
      </c>
      <c r="R26" s="53">
        <f t="shared" ref="R26:R31" si="10">SUM(P26:Q26)</f>
        <v>88</v>
      </c>
      <c r="S26" s="53">
        <f>IFERROR(IF((Sweet!N44 - ProdExpSweet!G10)="",0,(Sweet!N44 - ProdExpSweet!G10)),0)</f>
        <v>87</v>
      </c>
      <c r="T26" s="53">
        <f>IFERROR(IF((Bitter!M44 - ProdExpBitter!G10)="",0,(Bitter!N44 - ProdExpBitter!G10)),0)</f>
        <v>0</v>
      </c>
      <c r="U26" s="53">
        <f t="shared" ref="U26:U31" si="11">SUM(S26:T26)</f>
        <v>87</v>
      </c>
      <c r="V26" s="53">
        <f>IFERROR(IF((Sweet!N45 - ProdExpSweet!G11)="",0,(Sweet!N45 - ProdExpSweet!G11)),0)</f>
        <v>83</v>
      </c>
      <c r="W26" s="53">
        <f>IFERROR(IF((Bitter!M45 - ProdExpBitter!G11)="",0,(Bitter!N45 - ProdExpBitter!G11)),0)</f>
        <v>0</v>
      </c>
      <c r="X26" s="53">
        <f t="shared" ref="X26:X31" si="12">SUM(V26:W26)</f>
        <v>83</v>
      </c>
      <c r="Y26" s="53">
        <f>IFERROR(IF((Sweet!N46 - ProdExpSweet!G12)="",0,(Sweet!N46 - ProdExpSweet!G12)),0)</f>
        <v>103</v>
      </c>
      <c r="Z26" s="53">
        <f>IFERROR(IF((Bitter!M46 - ProdExpBitter!G12)="",0,(Bitter!N46 - ProdExpBitter!G12)),0)</f>
        <v>0</v>
      </c>
      <c r="AA26" s="53">
        <f t="shared" ref="AA26:AA31" si="13">SUM(Y26:Z26)</f>
        <v>103</v>
      </c>
      <c r="AB26" s="53">
        <f>IFERROR(IF((Sweet!N47 - ProdExpSweet!G13)="",0,(Sweet!N47 - ProdExpSweet!G13)),0)</f>
        <v>72</v>
      </c>
      <c r="AC26" s="53">
        <f>IFERROR(IF((Bitter!M47 - ProdExpBitter!G13)="",0,(Bitter!N47 - ProdExpBitter!G13)),0)</f>
        <v>0</v>
      </c>
      <c r="AD26" s="53">
        <f t="shared" ref="AD26:AD31" si="14">SUM(AB26:AC26)</f>
        <v>72</v>
      </c>
      <c r="AE26" s="53">
        <f>IFERROR(IF((Sweet!N48 - ProdExpSweet!G14)="",0,(Sweet!N48 - ProdExpSweet!G14)),0)</f>
        <v>76</v>
      </c>
      <c r="AF26" s="53">
        <f>IFERROR(IF((Bitter!M48 - ProdExpBitter!G14)="",0,(Bitter!N48 - ProdExpBitter!G14)),0)</f>
        <v>0</v>
      </c>
      <c r="AG26" s="53">
        <f t="shared" ref="AG26:AG31" si="15">SUM(AE26:AF26)</f>
        <v>76</v>
      </c>
      <c r="AH26" s="53">
        <f>IFERROR(IF((Sweet!N49 - ProdExpSweet!G15)="",0,(Sweet!N49 - ProdExpSweet!G15)),0)</f>
        <v>72</v>
      </c>
      <c r="AI26" s="53">
        <f>IFERROR(IF((Bitter!M49 - ProdExpBitter!G15)="",0,(Bitter!N49 - ProdExpBitter!G15)),0)</f>
        <v>0</v>
      </c>
      <c r="AJ26" s="53">
        <f t="shared" ref="AJ26:AJ31" si="16">SUM(AH26:AI26)</f>
        <v>72</v>
      </c>
      <c r="AK26" s="53">
        <f>IFERROR(IF((Sweet!N50 - ProdExpSweet!G16)="",0,(Sweet!N50 - ProdExpSweet!G16)),0)</f>
        <v>62</v>
      </c>
      <c r="AL26" s="53">
        <f>IFERROR(IF((Bitter!M50 - ProdExpBitter!G16)="",0,(Bitter!N50 - ProdExpBitter!G16)),0)</f>
        <v>0</v>
      </c>
      <c r="AM26" s="53">
        <f t="shared" ref="AM26:AM31" si="17">SUM(AK26:AL26)</f>
        <v>62</v>
      </c>
      <c r="AN26" s="53">
        <f t="shared" ref="AN26:AO31" si="18">D26+G26+J26+M26+P26+S26+V26+Y26+AB26+AE26+AH26+AK26</f>
        <v>937</v>
      </c>
      <c r="AO26" s="53">
        <f t="shared" si="18"/>
        <v>64</v>
      </c>
      <c r="AP26" s="53">
        <f t="shared" ref="AP26:AP31" si="19">SUM(AN26:AO26)</f>
        <v>1001</v>
      </c>
      <c r="AQ26" s="33" t="s">
        <v>129</v>
      </c>
      <c r="AR26" s="38"/>
      <c r="AS26" s="41"/>
    </row>
    <row r="27" spans="1:45" ht="27.75" customHeight="1" x14ac:dyDescent="0.5">
      <c r="A27" s="22"/>
      <c r="B27" s="8"/>
      <c r="C27" s="21" t="s">
        <v>130</v>
      </c>
      <c r="D27" s="55">
        <f>IFERROR(IF((Sweet!O39 - ProdExpSweet!H5)="",0,(Sweet!O39 - ProdExpSweet!H5)),0)</f>
        <v>244</v>
      </c>
      <c r="E27" s="55">
        <f>IFERROR(IF((Bitter!O39 - ProdExpBitter!H5)="",0,(Bitter!O39 - ProdExpBitter!H5)),0)</f>
        <v>125</v>
      </c>
      <c r="F27" s="55">
        <f t="shared" si="6"/>
        <v>369</v>
      </c>
      <c r="G27" s="55">
        <f>IFERROR(IF((Sweet!O40 - ProdExpSweet!H6)="",0,(Sweet!O40 - ProdExpSweet!H6)),0)</f>
        <v>214</v>
      </c>
      <c r="H27" s="55">
        <f>IFERROR(IF((Bitter!O40 - ProdExpBitter!H6)="",0,(Bitter!O40 - ProdExpBitter!H6)),0)</f>
        <v>116</v>
      </c>
      <c r="I27" s="55">
        <f t="shared" si="7"/>
        <v>330</v>
      </c>
      <c r="J27" s="55">
        <f>IFERROR(IF((Sweet!O41 - ProdExpSweet!H7)="",0,(Sweet!O41 - ProdExpSweet!H7)),0)</f>
        <v>235</v>
      </c>
      <c r="K27" s="55">
        <f>IFERROR(IF((Bitter!O41 - ProdExpBitter!H7)="",0,(Bitter!O41 - ProdExpBitter!H7)),0)</f>
        <v>130</v>
      </c>
      <c r="L27" s="55">
        <f t="shared" si="8"/>
        <v>365</v>
      </c>
      <c r="M27" s="55">
        <f>IFERROR(IF((Sweet!O42 - ProdExpSweet!H8)="",0,(Sweet!O42 - ProdExpSweet!H8)),0)</f>
        <v>203</v>
      </c>
      <c r="N27" s="55">
        <f>IFERROR(IF((Bitter!O42 - ProdExpBitter!H8)="",0,(Bitter!O42 - ProdExpBitter!H8)),0)</f>
        <v>52</v>
      </c>
      <c r="O27" s="55">
        <f t="shared" si="9"/>
        <v>255</v>
      </c>
      <c r="P27" s="55">
        <f>IFERROR(IF((Sweet!O43 - ProdExpSweet!H9)="",0,(Sweet!O43 - ProdExpSweet!H9)),0)</f>
        <v>293</v>
      </c>
      <c r="Q27" s="55">
        <f>IFERROR(IF((Bitter!O43 - ProdExpBitter!H9)="",0,(Bitter!O43 - ProdExpBitter!H9)),0)</f>
        <v>23</v>
      </c>
      <c r="R27" s="55">
        <f t="shared" si="10"/>
        <v>316</v>
      </c>
      <c r="S27" s="55">
        <f>IFERROR(IF((Sweet!O44 - ProdExpSweet!H10)="",0,(Sweet!O44 - ProdExpSweet!H10)),0)</f>
        <v>258</v>
      </c>
      <c r="T27" s="55">
        <f>IFERROR(IF((Bitter!O44 - ProdExpBitter!H10)="",0,(Bitter!O44 - ProdExpBitter!H10)),0)</f>
        <v>65</v>
      </c>
      <c r="U27" s="55">
        <f t="shared" si="11"/>
        <v>323</v>
      </c>
      <c r="V27" s="55">
        <f>IFERROR(IF((Sweet!O45 - ProdExpSweet!H11)="",0,(Sweet!O45 - ProdExpSweet!H11)),0)</f>
        <v>253</v>
      </c>
      <c r="W27" s="55">
        <f>IFERROR(IF((Bitter!O45 - ProdExpBitter!H11)="",0,(Bitter!O45 - ProdExpBitter!H11)),0)</f>
        <v>34</v>
      </c>
      <c r="X27" s="55">
        <f t="shared" si="12"/>
        <v>287</v>
      </c>
      <c r="Y27" s="55">
        <f>IFERROR(IF((Sweet!O46 - ProdExpSweet!H12)="",0,(Sweet!O46 - ProdExpSweet!H12)),0)</f>
        <v>269</v>
      </c>
      <c r="Z27" s="55">
        <f>IFERROR(IF((Bitter!O46 - ProdExpBitter!H12)="",0,(Bitter!O46 - ProdExpBitter!H12)),0)</f>
        <v>50</v>
      </c>
      <c r="AA27" s="55">
        <f t="shared" si="13"/>
        <v>319</v>
      </c>
      <c r="AB27" s="55">
        <f>IFERROR(IF((Sweet!O47 - ProdExpSweet!H13)="",0,(Sweet!O47 - ProdExpSweet!H13)),0)</f>
        <v>369</v>
      </c>
      <c r="AC27" s="55">
        <f>IFERROR(IF((Bitter!O47 - ProdExpBitter!H13)="",0,(Bitter!O47 - ProdExpBitter!H13)),0)</f>
        <v>83</v>
      </c>
      <c r="AD27" s="55">
        <f t="shared" si="14"/>
        <v>452</v>
      </c>
      <c r="AE27" s="55">
        <f>IFERROR(IF((Sweet!O48 - ProdExpSweet!H14)="",0,(Sweet!O48 - ProdExpSweet!H14)),0)</f>
        <v>254</v>
      </c>
      <c r="AF27" s="55">
        <f>IFERROR(IF((Bitter!O48 - ProdExpBitter!H14)="",0,(Bitter!O48 - ProdExpBitter!H14)),0)</f>
        <v>34</v>
      </c>
      <c r="AG27" s="55">
        <f t="shared" si="15"/>
        <v>288</v>
      </c>
      <c r="AH27" s="55">
        <f>IFERROR(IF((Sweet!O49 - ProdExpSweet!H15)="",0,(Sweet!O49 - ProdExpSweet!H15)),0)</f>
        <v>298</v>
      </c>
      <c r="AI27" s="55">
        <f>IFERROR(IF((Bitter!O49 - ProdExpBitter!H15)="",0,(Bitter!O49 - ProdExpBitter!H15)),0)</f>
        <v>3</v>
      </c>
      <c r="AJ27" s="55">
        <f t="shared" si="16"/>
        <v>301</v>
      </c>
      <c r="AK27" s="55">
        <f>IFERROR(IF((Sweet!O50 - ProdExpSweet!H16)="",0,(Sweet!O50 - ProdExpSweet!H16)),0)</f>
        <v>337</v>
      </c>
      <c r="AL27" s="55">
        <f>IFERROR(IF((Bitter!O50 - ProdExpBitter!H16)="",0,(Bitter!O50 - ProdExpBitter!H16)),0)</f>
        <v>45</v>
      </c>
      <c r="AM27" s="55">
        <f t="shared" si="17"/>
        <v>382</v>
      </c>
      <c r="AN27" s="55">
        <f t="shared" si="18"/>
        <v>3227</v>
      </c>
      <c r="AO27" s="55">
        <f t="shared" si="18"/>
        <v>760</v>
      </c>
      <c r="AP27" s="55">
        <f t="shared" si="19"/>
        <v>3987</v>
      </c>
      <c r="AQ27" s="34" t="s">
        <v>131</v>
      </c>
      <c r="AR27" s="38"/>
      <c r="AS27" s="41"/>
    </row>
    <row r="28" spans="1:45" ht="27.75" customHeight="1" x14ac:dyDescent="0.5">
      <c r="A28" s="22"/>
      <c r="B28" s="8"/>
      <c r="C28" s="16" t="s">
        <v>132</v>
      </c>
      <c r="D28" s="54">
        <f>IFERROR(IF((Sweet!P39 + Sweet!Z39 - ProdExpSweet!I5)="",0,(Sweet!P39 + Sweet!Z39 - ProdExpSweet!I5)),0)</f>
        <v>206</v>
      </c>
      <c r="E28" s="54">
        <f>IFERROR(IF((Bitter!P39 + Bitter!Z39 - ProdExpBitter!I5)="",0,(Bitter!P39 + Bitter!Z39 - ProdExpBitter!I5)),0)</f>
        <v>151</v>
      </c>
      <c r="F28" s="54">
        <f t="shared" si="6"/>
        <v>357</v>
      </c>
      <c r="G28" s="54">
        <f>IFERROR(IF((Sweet!P40 + Sweet!Z40 - ProdExpSweet!I6)="",0,(Sweet!P40 + Sweet!Z40 - ProdExpSweet!I6)),0)</f>
        <v>186</v>
      </c>
      <c r="H28" s="54">
        <f>IFERROR(IF((Bitter!P40 + Bitter!Z40 - ProdExpBitter!I6)="",0,(Bitter!P40 + Bitter!Z40 - ProdExpBitter!I6)),0)</f>
        <v>260</v>
      </c>
      <c r="I28" s="54">
        <f t="shared" si="7"/>
        <v>446</v>
      </c>
      <c r="J28" s="54">
        <f>IFERROR(IF((Sweet!P41 + Sweet!Z41 - ProdExpSweet!I7)="",0,(Sweet!P41 + Sweet!Z41 - ProdExpSweet!I7)),0)</f>
        <v>329</v>
      </c>
      <c r="K28" s="54">
        <f>IFERROR(IF((Bitter!P41 + Bitter!Z41 - ProdExpBitter!I7)="",0,(Bitter!P41 + Bitter!Z41 - ProdExpBitter!I7)),0)</f>
        <v>59</v>
      </c>
      <c r="L28" s="54">
        <f t="shared" si="8"/>
        <v>388</v>
      </c>
      <c r="M28" s="54">
        <f>IFERROR(IF((Sweet!P42 + Sweet!Z42 - ProdExpSweet!I8)="",0,(Sweet!P42 + Sweet!Z42 - ProdExpSweet!I8)),0)</f>
        <v>270</v>
      </c>
      <c r="N28" s="54">
        <f>IFERROR(IF((Bitter!P42 + Bitter!Z42 - ProdExpBitter!I8)="",0,(Bitter!P42 + Bitter!Z42 - ProdExpBitter!I8)),0)</f>
        <v>100</v>
      </c>
      <c r="O28" s="54">
        <f t="shared" si="9"/>
        <v>370</v>
      </c>
      <c r="P28" s="54">
        <f>IFERROR(IF((Sweet!P43 + Sweet!Z43 - ProdExpSweet!I9)="",0,(Sweet!P43 + Sweet!Z43 - ProdExpSweet!I9)),0)</f>
        <v>284</v>
      </c>
      <c r="Q28" s="54">
        <f>IFERROR(IF((Bitter!P43 + Bitter!Z43 - ProdExpBitter!I9)="",0,(Bitter!P43 + Bitter!Z43 - ProdExpBitter!I9)),0)</f>
        <v>77</v>
      </c>
      <c r="R28" s="54">
        <f t="shared" si="10"/>
        <v>361</v>
      </c>
      <c r="S28" s="54">
        <f>IFERROR(IF((Sweet!P44 + Sweet!Z44 - ProdExpSweet!I10)="",0,(Sweet!P44 + Sweet!Z44 - ProdExpSweet!I10)),0)</f>
        <v>264</v>
      </c>
      <c r="T28" s="54">
        <f>IFERROR(IF((Bitter!P44 + Bitter!Z44 - ProdExpBitter!I10)="",0,(Bitter!P44 + Bitter!Z44 - ProdExpBitter!I10)),0)</f>
        <v>205</v>
      </c>
      <c r="U28" s="54">
        <f t="shared" si="11"/>
        <v>469</v>
      </c>
      <c r="V28" s="54">
        <f>IFERROR(IF((Sweet!P45 + Sweet!Z45 - ProdExpSweet!I11)="",0,(Sweet!P45 + Sweet!Z45 - ProdExpSweet!I11)),0)</f>
        <v>98</v>
      </c>
      <c r="W28" s="54">
        <f>IFERROR(IF((Bitter!P45 + Bitter!Z45 - ProdExpBitter!I11)="",0,(Bitter!P45 + Bitter!Z45 - ProdExpBitter!I11)),0)</f>
        <v>327</v>
      </c>
      <c r="X28" s="54">
        <f t="shared" si="12"/>
        <v>425</v>
      </c>
      <c r="Y28" s="54">
        <f>IFERROR(IF((Sweet!P46 + Sweet!Z46 - ProdExpSweet!I12)="",0,(Sweet!P46 + Sweet!Z46 - ProdExpSweet!I12)),0)</f>
        <v>315</v>
      </c>
      <c r="Z28" s="54">
        <f>IFERROR(IF((Bitter!P46 + Bitter!Z46 - ProdExpBitter!I12)="",0,(Bitter!P46 + Bitter!Z46 - ProdExpBitter!I12)),0)</f>
        <v>103</v>
      </c>
      <c r="AA28" s="54">
        <f t="shared" si="13"/>
        <v>418</v>
      </c>
      <c r="AB28" s="54">
        <f>IFERROR(IF((Sweet!P47 + Sweet!Z47 - ProdExpSweet!I13)="",0,(Sweet!P47 + Sweet!Z47 - ProdExpSweet!I13)),0)</f>
        <v>623</v>
      </c>
      <c r="AC28" s="54">
        <f>IFERROR(IF((Bitter!P47 + Bitter!Z47 - ProdExpBitter!I13)="",0,(Bitter!P47 + Bitter!Z47 - ProdExpBitter!I13)),0)</f>
        <v>88</v>
      </c>
      <c r="AD28" s="54">
        <f t="shared" si="14"/>
        <v>711</v>
      </c>
      <c r="AE28" s="54">
        <f>IFERROR(IF((Sweet!P48 + Sweet!Z48 - ProdExpSweet!I14)="",0,(Sweet!P48 + Sweet!Z48 - ProdExpSweet!I14)),0)</f>
        <v>80</v>
      </c>
      <c r="AF28" s="54">
        <f>IFERROR(IF((Bitter!P48 + Bitter!Z48 - ProdExpBitter!I14)="",0,(Bitter!P48 + Bitter!Z48 - ProdExpBitter!I14)),0)</f>
        <v>101</v>
      </c>
      <c r="AG28" s="54">
        <f t="shared" si="15"/>
        <v>181</v>
      </c>
      <c r="AH28" s="54">
        <f>IFERROR(IF((Sweet!P49 + Sweet!Z49 - ProdExpSweet!I15)="",0,(Sweet!P49 + Sweet!Z49 - ProdExpSweet!I15)),0)</f>
        <v>240</v>
      </c>
      <c r="AI28" s="54">
        <f>IFERROR(IF((Bitter!P49 + Bitter!Z49 - ProdExpBitter!I15)="",0,(Bitter!P49 + Bitter!Z49 - ProdExpBitter!I15)),0)</f>
        <v>156</v>
      </c>
      <c r="AJ28" s="54">
        <f t="shared" si="16"/>
        <v>396</v>
      </c>
      <c r="AK28" s="54">
        <f>IFERROR(IF((Sweet!P50 + Sweet!Z50 - ProdExpSweet!I16)="",0,(Sweet!P50 + Sweet!Z50 - ProdExpSweet!I16)),0)</f>
        <v>199</v>
      </c>
      <c r="AL28" s="54">
        <f>IFERROR(IF((Bitter!P50 + Bitter!Z50 - ProdExpBitter!I16)="",0,(Bitter!P50 + Bitter!Z50 - ProdExpBitter!I16)),0)</f>
        <v>2</v>
      </c>
      <c r="AM28" s="54">
        <f t="shared" si="17"/>
        <v>201</v>
      </c>
      <c r="AN28" s="54">
        <f t="shared" si="18"/>
        <v>3094</v>
      </c>
      <c r="AO28" s="54">
        <f t="shared" si="18"/>
        <v>1629</v>
      </c>
      <c r="AP28" s="54">
        <f t="shared" si="19"/>
        <v>4723</v>
      </c>
      <c r="AQ28" s="35" t="s">
        <v>133</v>
      </c>
      <c r="AR28" s="38"/>
      <c r="AS28" s="41"/>
    </row>
    <row r="29" spans="1:45" ht="27.75" customHeight="1" x14ac:dyDescent="0.5">
      <c r="A29" s="22"/>
      <c r="B29" s="8" t="s">
        <v>134</v>
      </c>
      <c r="C29" s="13"/>
      <c r="D29" s="53">
        <f>IFERROR(IF((Sweet!Q39 - ProdExpSweet!J5)="",0,(Sweet!Q39 - ProdExpSweet!J5)),0)</f>
        <v>0</v>
      </c>
      <c r="E29" s="53">
        <f>IFERROR(IF((Bitter!Q39 - ProdExpBitter!J5)="",0,(Bitter!Q39 - ProdExpBitter!J5)),0)</f>
        <v>0</v>
      </c>
      <c r="F29" s="53">
        <f t="shared" si="6"/>
        <v>0</v>
      </c>
      <c r="G29" s="53">
        <f>IFERROR(IF((Sweet!Q40 - ProdExpSweet!J6)="",0,(Sweet!Q40 - ProdExpSweet!J6)),0)</f>
        <v>0</v>
      </c>
      <c r="H29" s="53">
        <f>IFERROR(IF((Bitter!Q40 - ProdExpBitter!J6)="",0,(Bitter!Q40 - ProdExpBitter!J6)),0)</f>
        <v>0</v>
      </c>
      <c r="I29" s="53">
        <f t="shared" si="7"/>
        <v>0</v>
      </c>
      <c r="J29" s="53">
        <f>IFERROR(IF((Sweet!Q41 - ProdExpSweet!J7)="",0,(Sweet!Q41 - ProdExpSweet!J7)),0)</f>
        <v>0</v>
      </c>
      <c r="K29" s="53">
        <f>IFERROR(IF((Bitter!Q41 - ProdExpBitter!J7)="",0,(Bitter!Q41 - ProdExpBitter!J7)),0)</f>
        <v>0</v>
      </c>
      <c r="L29" s="53">
        <f t="shared" si="8"/>
        <v>0</v>
      </c>
      <c r="M29" s="53">
        <f>IFERROR(IF((Sweet!Q42 - ProdExpSweet!J8)="",0,(Sweet!Q42 - ProdExpSweet!J8)),0)</f>
        <v>0</v>
      </c>
      <c r="N29" s="53">
        <f>IFERROR(IF((Bitter!Q42 - ProdExpBitter!J8)="",0,(Bitter!Q42 - ProdExpBitter!J8)),0)</f>
        <v>0</v>
      </c>
      <c r="O29" s="53">
        <f t="shared" si="9"/>
        <v>0</v>
      </c>
      <c r="P29" s="53">
        <f>IFERROR(IF((Sweet!Q43 - ProdExpSweet!J9)="",0,(Sweet!Q43 - ProdExpSweet!J9)),0)</f>
        <v>0</v>
      </c>
      <c r="Q29" s="53">
        <f>IFERROR(IF((Bitter!Q43 - ProdExpBitter!J9)="",0,(Bitter!Q43 - ProdExpBitter!J9)),0)</f>
        <v>0</v>
      </c>
      <c r="R29" s="53">
        <f t="shared" si="10"/>
        <v>0</v>
      </c>
      <c r="S29" s="53">
        <f>IFERROR(IF((Sweet!Q44 - ProdExpSweet!J10)="",0,(Sweet!Q44 - ProdExpSweet!J10)),0)</f>
        <v>0</v>
      </c>
      <c r="T29" s="53">
        <f>IFERROR(IF((Bitter!Q44 - ProdExpBitter!J10)="",0,(Bitter!Q44 - ProdExpBitter!J10)),0)</f>
        <v>0</v>
      </c>
      <c r="U29" s="53">
        <f t="shared" si="11"/>
        <v>0</v>
      </c>
      <c r="V29" s="53">
        <f>IFERROR(IF((Sweet!Q45 - ProdExpSweet!J11)="",0,(Sweet!Q45 - ProdExpSweet!J11)),0)</f>
        <v>0</v>
      </c>
      <c r="W29" s="53">
        <f>IFERROR(IF((Bitter!Q45 - ProdExpBitter!J11)="",0,(Bitter!Q45 - ProdExpBitter!J11)),0)</f>
        <v>0</v>
      </c>
      <c r="X29" s="53">
        <f t="shared" si="12"/>
        <v>0</v>
      </c>
      <c r="Y29" s="53">
        <f>IFERROR(IF((Sweet!Q46 - ProdExpSweet!J12)="",0,(Sweet!Q46 - ProdExpSweet!J12)),0)</f>
        <v>0</v>
      </c>
      <c r="Z29" s="53">
        <f>IFERROR(IF((Bitter!Q46 - ProdExpBitter!J12)="",0,(Bitter!Q46 - ProdExpBitter!J12)),0)</f>
        <v>0</v>
      </c>
      <c r="AA29" s="53">
        <f t="shared" si="13"/>
        <v>0</v>
      </c>
      <c r="AB29" s="53">
        <f>IFERROR(IF((Sweet!Q47 - ProdExpSweet!J13)="",0,(SweetQO47 - ProdExpSweet!J13)),0)</f>
        <v>0</v>
      </c>
      <c r="AC29" s="53">
        <f>IFERROR(IF((Bitter!Q47 - ProdExpBitter!J13)="",0,(Bitter!Q47 - ProdExpBitter!J13)),0)</f>
        <v>0</v>
      </c>
      <c r="AD29" s="53">
        <f t="shared" si="14"/>
        <v>0</v>
      </c>
      <c r="AE29" s="53">
        <f>IFERROR(IF((Sweet!Q48 - ProdExpSweet!J14)="",0,(Sweet!Q48 - ProdExpSweet!J14)),0)</f>
        <v>0</v>
      </c>
      <c r="AF29" s="53">
        <f>IFERROR(IF((Bitter!Q48 - ProdExpBitter!J14)="",0,(Bitter!Q48 - ProdExpBitter!J14)),0)</f>
        <v>0</v>
      </c>
      <c r="AG29" s="53">
        <f t="shared" si="15"/>
        <v>0</v>
      </c>
      <c r="AH29" s="53">
        <f>IFERROR(IF((Sweet!Q49 - ProdExpSweet!J15)="",0,(Sweet!Q49 - ProdExpSweet!J15)),0)</f>
        <v>0</v>
      </c>
      <c r="AI29" s="53">
        <f>IFERROR(IF((Bitter!Q49 - ProdExpBitter!J15)="",0,(Bitter!Q49 - ProdExpBitter!J15)),0)</f>
        <v>0</v>
      </c>
      <c r="AJ29" s="53">
        <f t="shared" si="16"/>
        <v>0</v>
      </c>
      <c r="AK29" s="53">
        <f>IFERROR(IF((Sweet!Q50 - ProdExpSweet!J16)="",0,(Sweet!Q50 - ProdExpSweet!J16)),0)</f>
        <v>0</v>
      </c>
      <c r="AL29" s="53">
        <f>IFERROR(IF((Bitter!Q50 - ProdExpBitter!J16)="",0,(Bitter!Q50 - ProdExpBitter!J16)),0)</f>
        <v>0</v>
      </c>
      <c r="AM29" s="53">
        <f t="shared" si="17"/>
        <v>0</v>
      </c>
      <c r="AN29" s="53">
        <f t="shared" si="18"/>
        <v>0</v>
      </c>
      <c r="AO29" s="53">
        <f t="shared" si="18"/>
        <v>0</v>
      </c>
      <c r="AP29" s="53">
        <f t="shared" si="19"/>
        <v>0</v>
      </c>
      <c r="AQ29" s="32"/>
      <c r="AR29" s="38" t="s">
        <v>135</v>
      </c>
      <c r="AS29" s="41"/>
    </row>
    <row r="30" spans="1:45" ht="27.75" customHeight="1" x14ac:dyDescent="0.5">
      <c r="A30" s="22"/>
      <c r="B30" s="8" t="s">
        <v>136</v>
      </c>
      <c r="C30" s="13"/>
      <c r="D30" s="55">
        <f>IFERROR(IF(Sweet!T39="",0,Sweet!T39),0)</f>
        <v>67</v>
      </c>
      <c r="E30" s="55">
        <f>IFERROR(IF(Bitter!T39="",0,Bitter!T39),0)</f>
        <v>20</v>
      </c>
      <c r="F30" s="55">
        <f t="shared" si="6"/>
        <v>87</v>
      </c>
      <c r="G30" s="55">
        <f>IFERROR(IF(Sweet!T40="",0,Sweet!T40),0)</f>
        <v>5</v>
      </c>
      <c r="H30" s="55">
        <f>IFERROR(IF(Bitter!T40="",0,Bitter!T40),0)</f>
        <v>0</v>
      </c>
      <c r="I30" s="55">
        <f t="shared" si="7"/>
        <v>5</v>
      </c>
      <c r="J30" s="55">
        <f>IFERROR(IF(Sweet!T41="",0,Sweet!T41),0)</f>
        <v>0</v>
      </c>
      <c r="K30" s="55">
        <f>IFERROR(IF(Bitter!T41="",0,Bitter!T41),0)</f>
        <v>0</v>
      </c>
      <c r="L30" s="55">
        <f t="shared" si="8"/>
        <v>0</v>
      </c>
      <c r="M30" s="55">
        <f>IFERROR(IF(Sweet!T42="",0,Sweet!T42),0)</f>
        <v>0</v>
      </c>
      <c r="N30" s="55">
        <f>IFERROR(IF(Bitter!T42="",0,Bitter!T42),0)</f>
        <v>108</v>
      </c>
      <c r="O30" s="55">
        <f t="shared" si="9"/>
        <v>108</v>
      </c>
      <c r="P30" s="55">
        <f>IFERROR(IF(Sweet!T43="",0,Sweet!T43),0)</f>
        <v>0</v>
      </c>
      <c r="Q30" s="55">
        <f>IFERROR(IF(Bitter!T43="",0,Bitter!T43),0)</f>
        <v>131</v>
      </c>
      <c r="R30" s="55">
        <f t="shared" si="10"/>
        <v>131</v>
      </c>
      <c r="S30" s="55">
        <f>IFERROR(IF(Sweet!T44="",0,Sweet!T44),0)</f>
        <v>0</v>
      </c>
      <c r="T30" s="55">
        <f>IFERROR(IF(Bitter!T44="",0,Bitter!T44),0)</f>
        <v>172</v>
      </c>
      <c r="U30" s="55">
        <f t="shared" si="11"/>
        <v>172</v>
      </c>
      <c r="V30" s="55">
        <f>IFERROR(IF(Sweet!T45="",0,Sweet!T45),0)</f>
        <v>0</v>
      </c>
      <c r="W30" s="55">
        <f>IFERROR(IF(Bitter!T45="",0,Bitter!T45),0)</f>
        <v>0</v>
      </c>
      <c r="X30" s="55">
        <f t="shared" si="12"/>
        <v>0</v>
      </c>
      <c r="Y30" s="55">
        <f>IFERROR(IF(Sweet!T46="",0,Sweet!T46),0)</f>
        <v>0</v>
      </c>
      <c r="Z30" s="55">
        <f>IFERROR(IF(Bitter!T46="",0,Bitter!T46),0)</f>
        <v>32</v>
      </c>
      <c r="AA30" s="55">
        <f t="shared" si="13"/>
        <v>32</v>
      </c>
      <c r="AB30" s="55">
        <f>IFERROR(IF(Sweet!T47="",0,Sweet!T47),0)</f>
        <v>0</v>
      </c>
      <c r="AC30" s="55">
        <f>IFERROR(IF(Bitter!T47="",0,Bitter!T47),0)</f>
        <v>0</v>
      </c>
      <c r="AD30" s="55">
        <f t="shared" si="14"/>
        <v>0</v>
      </c>
      <c r="AE30" s="55">
        <f>IFERROR(IF(Sweet!T48="",0,Sweet!T48),0)</f>
        <v>77</v>
      </c>
      <c r="AF30" s="55">
        <f>IFERROR(IF(Bitter!T48="",0,Bitter!T48),0)</f>
        <v>0</v>
      </c>
      <c r="AG30" s="55">
        <f t="shared" si="15"/>
        <v>77</v>
      </c>
      <c r="AH30" s="55">
        <f>IFERROR(IF(Sweet!T49="",0,Sweet!T49),0)</f>
        <v>32</v>
      </c>
      <c r="AI30" s="55">
        <f>IFERROR(IF(Bitter!T49="",0,Bitter!T49),0)</f>
        <v>0</v>
      </c>
      <c r="AJ30" s="55">
        <f t="shared" si="16"/>
        <v>32</v>
      </c>
      <c r="AK30" s="55">
        <f>IFERROR(IF(Sweet!T50="",0,Sweet!T50),0)</f>
        <v>0</v>
      </c>
      <c r="AL30" s="55">
        <f>IFERROR(IF(Bitter!T50="",0,Bitter!T50),0)</f>
        <v>0</v>
      </c>
      <c r="AM30" s="55">
        <f t="shared" si="17"/>
        <v>0</v>
      </c>
      <c r="AN30" s="55">
        <f t="shared" si="18"/>
        <v>181</v>
      </c>
      <c r="AO30" s="55">
        <f t="shared" si="18"/>
        <v>463</v>
      </c>
      <c r="AP30" s="55">
        <f t="shared" si="19"/>
        <v>644</v>
      </c>
      <c r="AQ30" s="32"/>
      <c r="AR30" s="38" t="s">
        <v>137</v>
      </c>
      <c r="AS30" s="41"/>
    </row>
    <row r="31" spans="1:45" ht="27.75" customHeight="1" x14ac:dyDescent="0.5">
      <c r="A31" s="22"/>
      <c r="B31" s="9" t="s">
        <v>138</v>
      </c>
      <c r="C31" s="14"/>
      <c r="D31" s="54">
        <f>IFERROR(IF(Sweet!U39="",0,Sweet!U39),0)</f>
        <v>207</v>
      </c>
      <c r="E31" s="54">
        <f>IFERROR(IF(Bitter!U39="",0,Bitter!U39),0)</f>
        <v>1</v>
      </c>
      <c r="F31" s="54">
        <f t="shared" si="6"/>
        <v>208</v>
      </c>
      <c r="G31" s="54">
        <f>IFERROR(IF(Sweet!U40="",0,Sweet!U40),0)</f>
        <v>174</v>
      </c>
      <c r="H31" s="54">
        <f>IFERROR(IF(Bitter!U40="",0,Bitter!U40),0)</f>
        <v>11</v>
      </c>
      <c r="I31" s="54">
        <f t="shared" si="7"/>
        <v>185</v>
      </c>
      <c r="J31" s="54">
        <f>IFERROR(IF(Sweet!U41="",0,Sweet!U41),0)</f>
        <v>148</v>
      </c>
      <c r="K31" s="54">
        <f>IFERROR(IF(Bitter!U41="",0,Bitter!U41),0)</f>
        <v>0</v>
      </c>
      <c r="L31" s="54">
        <f t="shared" si="8"/>
        <v>148</v>
      </c>
      <c r="M31" s="54">
        <f>IFERROR(IF(Sweet!U42="",0,Sweet!U42),0)</f>
        <v>96</v>
      </c>
      <c r="N31" s="54">
        <f>IFERROR(IF(Bitter!U42="",0,Bitter!U42),0)</f>
        <v>3</v>
      </c>
      <c r="O31" s="54">
        <f t="shared" si="9"/>
        <v>99</v>
      </c>
      <c r="P31" s="54">
        <f>IFERROR(IF(Sweet!U43="",0,Sweet!U43),0)</f>
        <v>96</v>
      </c>
      <c r="Q31" s="54">
        <f>IFERROR(IF(Bitter!U43="",0,Bitter!U43),0)</f>
        <v>26</v>
      </c>
      <c r="R31" s="54">
        <f t="shared" si="10"/>
        <v>122</v>
      </c>
      <c r="S31" s="54">
        <f>IFERROR(IF(Sweet!U44="",0,Sweet!U44),0)</f>
        <v>54</v>
      </c>
      <c r="T31" s="54">
        <f>IFERROR(IF(Bitter!U44="",0,Bitter!U44),0)</f>
        <v>0</v>
      </c>
      <c r="U31" s="54">
        <f t="shared" si="11"/>
        <v>54</v>
      </c>
      <c r="V31" s="54">
        <f>IFERROR(IF(Sweet!U45="",0,Sweet!U45),0)</f>
        <v>39</v>
      </c>
      <c r="W31" s="54">
        <f>IFERROR(IF(Bitter!U45="",0,Bitter!U45),0)</f>
        <v>0</v>
      </c>
      <c r="X31" s="54">
        <f t="shared" si="12"/>
        <v>39</v>
      </c>
      <c r="Y31" s="54">
        <f>IFERROR(IF(Sweet!U46="",0,Sweet!U46),0)</f>
        <v>55</v>
      </c>
      <c r="Z31" s="54">
        <f>IFERROR(IF(Bitter!U46="",0,Bitter!U46),0)</f>
        <v>4</v>
      </c>
      <c r="AA31" s="54">
        <f t="shared" si="13"/>
        <v>59</v>
      </c>
      <c r="AB31" s="54">
        <f>IFERROR(IF(Sweet!U47="",0,Sweet!U47),0)</f>
        <v>96</v>
      </c>
      <c r="AC31" s="54">
        <f>IFERROR(IF(Bitter!U47="",0,Bitter!U47),0)</f>
        <v>3</v>
      </c>
      <c r="AD31" s="54">
        <f t="shared" si="14"/>
        <v>99</v>
      </c>
      <c r="AE31" s="54">
        <f>IFERROR(IF(Sweet!U48="",0,Sweet!U48),0)</f>
        <v>79</v>
      </c>
      <c r="AF31" s="54">
        <f>IFERROR(IF(Bitter!U48="",0,Bitter!U48),0)</f>
        <v>0</v>
      </c>
      <c r="AG31" s="54">
        <f t="shared" si="15"/>
        <v>79</v>
      </c>
      <c r="AH31" s="54">
        <f>IFERROR(IF(Sweet!U49="",0,Sweet!U49),0)</f>
        <v>45</v>
      </c>
      <c r="AI31" s="54">
        <f>IFERROR(IF(Bitter!U49="",0,Bitter!U49),0)</f>
        <v>0</v>
      </c>
      <c r="AJ31" s="54">
        <f t="shared" si="16"/>
        <v>45</v>
      </c>
      <c r="AK31" s="54">
        <f>IFERROR(IF(Sweet!U50="",0,Sweet!U50),0)</f>
        <v>72</v>
      </c>
      <c r="AL31" s="54">
        <f>IFERROR(IF(Bitter!U50="",0,Bitter!U50),0)</f>
        <v>0</v>
      </c>
      <c r="AM31" s="54">
        <f t="shared" si="17"/>
        <v>72</v>
      </c>
      <c r="AN31" s="54">
        <f t="shared" si="18"/>
        <v>1161</v>
      </c>
      <c r="AO31" s="54">
        <f t="shared" si="18"/>
        <v>48</v>
      </c>
      <c r="AP31" s="54">
        <f t="shared" si="19"/>
        <v>1209</v>
      </c>
      <c r="AQ31" s="31"/>
      <c r="AR31" s="37" t="s">
        <v>139</v>
      </c>
      <c r="AS31" s="41"/>
    </row>
    <row r="32" spans="1:45" ht="27.75" customHeight="1" x14ac:dyDescent="0.5">
      <c r="A32" s="2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9"/>
      <c r="AR32" s="29"/>
      <c r="AS32" s="41"/>
    </row>
    <row r="33" spans="1:45" ht="27.75" customHeight="1" x14ac:dyDescent="0.5">
      <c r="A33" s="22" t="s">
        <v>140</v>
      </c>
      <c r="D33" s="52">
        <f t="shared" ref="D33:AP33" si="20">D34+D37</f>
        <v>1147</v>
      </c>
      <c r="E33" s="52">
        <f t="shared" si="20"/>
        <v>1179</v>
      </c>
      <c r="F33" s="52">
        <f t="shared" si="20"/>
        <v>2326</v>
      </c>
      <c r="G33" s="52">
        <f t="shared" si="20"/>
        <v>2018</v>
      </c>
      <c r="H33" s="52">
        <f t="shared" si="20"/>
        <v>362</v>
      </c>
      <c r="I33" s="52">
        <f t="shared" si="20"/>
        <v>2380</v>
      </c>
      <c r="J33" s="52">
        <f t="shared" si="20"/>
        <v>699</v>
      </c>
      <c r="K33" s="52">
        <f t="shared" si="20"/>
        <v>404</v>
      </c>
      <c r="L33" s="52">
        <f t="shared" si="20"/>
        <v>1103</v>
      </c>
      <c r="M33" s="52">
        <f t="shared" si="20"/>
        <v>729</v>
      </c>
      <c r="N33" s="52">
        <f t="shared" si="20"/>
        <v>414</v>
      </c>
      <c r="O33" s="52">
        <f t="shared" si="20"/>
        <v>1143</v>
      </c>
      <c r="P33" s="52">
        <f t="shared" si="20"/>
        <v>96</v>
      </c>
      <c r="Q33" s="52">
        <f t="shared" si="20"/>
        <v>415</v>
      </c>
      <c r="R33" s="52">
        <f t="shared" si="20"/>
        <v>511</v>
      </c>
      <c r="S33" s="52">
        <f t="shared" si="20"/>
        <v>802</v>
      </c>
      <c r="T33" s="52">
        <f t="shared" si="20"/>
        <v>373</v>
      </c>
      <c r="U33" s="52">
        <f t="shared" si="20"/>
        <v>1175</v>
      </c>
      <c r="V33" s="52">
        <f t="shared" si="20"/>
        <v>974</v>
      </c>
      <c r="W33" s="52">
        <f t="shared" si="20"/>
        <v>626</v>
      </c>
      <c r="X33" s="52">
        <f t="shared" si="20"/>
        <v>1600</v>
      </c>
      <c r="Y33" s="52">
        <f t="shared" si="20"/>
        <v>350</v>
      </c>
      <c r="Z33" s="52">
        <f t="shared" si="20"/>
        <v>307</v>
      </c>
      <c r="AA33" s="52">
        <f t="shared" si="20"/>
        <v>657</v>
      </c>
      <c r="AB33" s="52">
        <f t="shared" si="20"/>
        <v>575</v>
      </c>
      <c r="AC33" s="52">
        <f t="shared" si="20"/>
        <v>0</v>
      </c>
      <c r="AD33" s="52">
        <f t="shared" si="20"/>
        <v>575</v>
      </c>
      <c r="AE33" s="52">
        <f t="shared" si="20"/>
        <v>421</v>
      </c>
      <c r="AF33" s="52">
        <f t="shared" si="20"/>
        <v>0</v>
      </c>
      <c r="AG33" s="52">
        <f t="shared" si="20"/>
        <v>421</v>
      </c>
      <c r="AH33" s="52">
        <f t="shared" si="20"/>
        <v>337</v>
      </c>
      <c r="AI33" s="52">
        <f t="shared" si="20"/>
        <v>0</v>
      </c>
      <c r="AJ33" s="52">
        <f t="shared" si="20"/>
        <v>337</v>
      </c>
      <c r="AK33" s="52">
        <f t="shared" si="20"/>
        <v>221</v>
      </c>
      <c r="AL33" s="52">
        <f t="shared" si="20"/>
        <v>200</v>
      </c>
      <c r="AM33" s="52">
        <f t="shared" si="20"/>
        <v>421</v>
      </c>
      <c r="AN33" s="52">
        <f t="shared" si="20"/>
        <v>8369</v>
      </c>
      <c r="AO33" s="52">
        <f t="shared" si="20"/>
        <v>4280</v>
      </c>
      <c r="AP33" s="52">
        <f t="shared" si="20"/>
        <v>12649</v>
      </c>
      <c r="AQ33" s="30"/>
      <c r="AR33" s="39"/>
      <c r="AS33" s="42" t="s">
        <v>141</v>
      </c>
    </row>
    <row r="34" spans="1:45" ht="27.75" customHeight="1" x14ac:dyDescent="0.5">
      <c r="A34" s="22"/>
      <c r="B34" s="7" t="s">
        <v>142</v>
      </c>
      <c r="C34" s="12"/>
      <c r="D34" s="52">
        <f t="shared" ref="D34:AP34" si="21">SUM(D35:D36)</f>
        <v>0</v>
      </c>
      <c r="E34" s="52">
        <f t="shared" si="21"/>
        <v>344</v>
      </c>
      <c r="F34" s="52">
        <f t="shared" si="21"/>
        <v>344</v>
      </c>
      <c r="G34" s="52">
        <f t="shared" si="21"/>
        <v>23</v>
      </c>
      <c r="H34" s="52">
        <f t="shared" si="21"/>
        <v>362</v>
      </c>
      <c r="I34" s="52">
        <f t="shared" si="21"/>
        <v>385</v>
      </c>
      <c r="J34" s="52">
        <f t="shared" si="21"/>
        <v>0</v>
      </c>
      <c r="K34" s="52">
        <f t="shared" si="21"/>
        <v>404</v>
      </c>
      <c r="L34" s="52">
        <f t="shared" si="21"/>
        <v>404</v>
      </c>
      <c r="M34" s="52">
        <f t="shared" si="21"/>
        <v>108</v>
      </c>
      <c r="N34" s="52">
        <f t="shared" si="21"/>
        <v>414</v>
      </c>
      <c r="O34" s="52">
        <f t="shared" si="21"/>
        <v>522</v>
      </c>
      <c r="P34" s="52">
        <f t="shared" si="21"/>
        <v>60</v>
      </c>
      <c r="Q34" s="52">
        <f t="shared" si="21"/>
        <v>415</v>
      </c>
      <c r="R34" s="52">
        <f t="shared" si="21"/>
        <v>475</v>
      </c>
      <c r="S34" s="52">
        <f t="shared" si="21"/>
        <v>77</v>
      </c>
      <c r="T34" s="52">
        <f t="shared" si="21"/>
        <v>373</v>
      </c>
      <c r="U34" s="52">
        <f t="shared" si="21"/>
        <v>450</v>
      </c>
      <c r="V34" s="52">
        <f t="shared" si="21"/>
        <v>135</v>
      </c>
      <c r="W34" s="52">
        <f t="shared" si="21"/>
        <v>401</v>
      </c>
      <c r="X34" s="52">
        <f t="shared" si="21"/>
        <v>536</v>
      </c>
      <c r="Y34" s="52">
        <f t="shared" si="21"/>
        <v>335</v>
      </c>
      <c r="Z34" s="52">
        <f t="shared" si="21"/>
        <v>153</v>
      </c>
      <c r="AA34" s="52">
        <f t="shared" si="21"/>
        <v>488</v>
      </c>
      <c r="AB34" s="52">
        <f t="shared" si="21"/>
        <v>572</v>
      </c>
      <c r="AC34" s="52">
        <f t="shared" si="21"/>
        <v>0</v>
      </c>
      <c r="AD34" s="52">
        <f t="shared" si="21"/>
        <v>572</v>
      </c>
      <c r="AE34" s="52">
        <f t="shared" si="21"/>
        <v>387</v>
      </c>
      <c r="AF34" s="52">
        <f t="shared" si="21"/>
        <v>0</v>
      </c>
      <c r="AG34" s="52">
        <f t="shared" si="21"/>
        <v>387</v>
      </c>
      <c r="AH34" s="52">
        <f t="shared" si="21"/>
        <v>328</v>
      </c>
      <c r="AI34" s="52">
        <f t="shared" si="21"/>
        <v>0</v>
      </c>
      <c r="AJ34" s="52">
        <f t="shared" si="21"/>
        <v>328</v>
      </c>
      <c r="AK34" s="52">
        <f t="shared" si="21"/>
        <v>116</v>
      </c>
      <c r="AL34" s="52">
        <f t="shared" si="21"/>
        <v>200</v>
      </c>
      <c r="AM34" s="52">
        <f t="shared" si="21"/>
        <v>316</v>
      </c>
      <c r="AN34" s="52">
        <f t="shared" si="21"/>
        <v>2141</v>
      </c>
      <c r="AO34" s="52">
        <f t="shared" si="21"/>
        <v>3066</v>
      </c>
      <c r="AP34" s="52">
        <f t="shared" si="21"/>
        <v>5207</v>
      </c>
      <c r="AQ34" s="30"/>
      <c r="AR34" s="36" t="s">
        <v>143</v>
      </c>
      <c r="AS34" s="41"/>
    </row>
    <row r="35" spans="1:45" ht="27.75" customHeight="1" x14ac:dyDescent="0.5">
      <c r="A35" s="22"/>
      <c r="B35" s="8"/>
      <c r="C35" s="15" t="s">
        <v>144</v>
      </c>
      <c r="D35" s="53">
        <f>IFERROR(IF(Sweet!AD39="",0,Sweet!AD39),0)</f>
        <v>0</v>
      </c>
      <c r="E35" s="53">
        <f>IFERROR(IF(Bitter!AD39="",0,Bitter!AD39),0)</f>
        <v>344</v>
      </c>
      <c r="F35" s="53">
        <f>SUM(D35:E35)</f>
        <v>344</v>
      </c>
      <c r="G35" s="53">
        <f>IFERROR(IF(Sweet!AD40="",0,Sweet!AD40),0)</f>
        <v>23</v>
      </c>
      <c r="H35" s="53">
        <f>IFERROR(IF(Bitter!AD40="",0,Bitter!AD40),0)</f>
        <v>362</v>
      </c>
      <c r="I35" s="53">
        <f>SUM(G35:H35)</f>
        <v>385</v>
      </c>
      <c r="J35" s="53">
        <f>IFERROR(IF(Sweet!AD41="",0,Sweet!AD41),0)</f>
        <v>0</v>
      </c>
      <c r="K35" s="53">
        <f>IFERROR(IF(Bitter!AD41="",0,Bitter!AD41),0)</f>
        <v>404</v>
      </c>
      <c r="L35" s="53">
        <f>SUM(J35:K35)</f>
        <v>404</v>
      </c>
      <c r="M35" s="53">
        <f>IFERROR(IF(Sweet!AD42="",0,Sweet!AD42),0)</f>
        <v>108</v>
      </c>
      <c r="N35" s="53">
        <f>IFERROR(IF(Bitter!AD42="",0,Bitter!AD42),0)</f>
        <v>414</v>
      </c>
      <c r="O35" s="53">
        <f>SUM(M35:N35)</f>
        <v>522</v>
      </c>
      <c r="P35" s="53">
        <f>IFERROR(IF(Sweet!AD43="",0,Sweet!AD43),0)</f>
        <v>60</v>
      </c>
      <c r="Q35" s="53">
        <f>IFERROR(IF(Bitter!AD43="",0,Bitter!AD43),0)</f>
        <v>415</v>
      </c>
      <c r="R35" s="53">
        <f>SUM(P35:Q35)</f>
        <v>475</v>
      </c>
      <c r="S35" s="53">
        <f>IFERROR(IF(Sweet!AD44="",0,Sweet!AD44),0)</f>
        <v>77</v>
      </c>
      <c r="T35" s="53">
        <f>IFERROR(IF(Bitter!AD44="",0,Bitter!AD44),0)</f>
        <v>373</v>
      </c>
      <c r="U35" s="53">
        <f>SUM(S35:T35)</f>
        <v>450</v>
      </c>
      <c r="V35" s="53">
        <f>IFERROR(IF(Sweet!AD45="",0,Sweet!AD45),0)</f>
        <v>135</v>
      </c>
      <c r="W35" s="53">
        <f>IFERROR(IF(Bitter!AD45="",0,Bitter!AD45),0)</f>
        <v>401</v>
      </c>
      <c r="X35" s="53">
        <f>SUM(V35:W35)</f>
        <v>536</v>
      </c>
      <c r="Y35" s="53">
        <f>IFERROR(IF(Sweet!AD46="",0,Sweet!AD46),0)</f>
        <v>335</v>
      </c>
      <c r="Z35" s="53">
        <f>IFERROR(IF(Bitter!AD46="",0,Bitter!AD46),0)</f>
        <v>153</v>
      </c>
      <c r="AA35" s="53">
        <f>SUM(Y35:Z35)</f>
        <v>488</v>
      </c>
      <c r="AB35" s="53">
        <f>IFERROR(IF(Sweet!AD47="",0,Sweet!AD47),0)</f>
        <v>572</v>
      </c>
      <c r="AC35" s="53">
        <f>IFERROR(IF(Bitter!AD47="",0,Bitter!AD47),0)</f>
        <v>0</v>
      </c>
      <c r="AD35" s="53">
        <f>SUM(AB35:AC35)</f>
        <v>572</v>
      </c>
      <c r="AE35" s="53">
        <f>IFERROR(IF(Sweet!AD48="",0,Sweet!AD48),0)</f>
        <v>387</v>
      </c>
      <c r="AF35" s="53">
        <f>IFERROR(IF(Bitter!AD48="",0,Bitter!AD48),0)</f>
        <v>0</v>
      </c>
      <c r="AG35" s="53">
        <f>SUM(AE35:AF35)</f>
        <v>387</v>
      </c>
      <c r="AH35" s="53">
        <f>IFERROR(IF(Sweet!AD49="",0,Sweet!AD49),0)</f>
        <v>328</v>
      </c>
      <c r="AI35" s="53">
        <f>IFERROR(IF(Bitter!AD49="",0,Bitter!AD49),0)</f>
        <v>0</v>
      </c>
      <c r="AJ35" s="53">
        <f>SUM(AH35:AI35)</f>
        <v>328</v>
      </c>
      <c r="AK35" s="53">
        <f>IFERROR(IF(Sweet!AD50="",0,Sweet!AD50),0)</f>
        <v>116</v>
      </c>
      <c r="AL35" s="53">
        <f>IFERROR(IF(Bitter!AD50="",0,Bitter!AD50),0)</f>
        <v>200</v>
      </c>
      <c r="AM35" s="53">
        <f>SUM(AK35:AL35)</f>
        <v>316</v>
      </c>
      <c r="AN35" s="53">
        <f>D35+G35+J35+M35+P35+S35+V35+Y35+AB35+AE35+AH35+AK35</f>
        <v>2141</v>
      </c>
      <c r="AO35" s="53">
        <f>E35+H35+K35+N35+Q35+T35+W35+Z35+AC35+AF35+AI35+AL35</f>
        <v>3066</v>
      </c>
      <c r="AP35" s="53">
        <f>SUM(AN35:AO35)</f>
        <v>5207</v>
      </c>
      <c r="AQ35" s="33" t="s">
        <v>145</v>
      </c>
      <c r="AR35" s="38"/>
      <c r="AS35" s="41"/>
    </row>
    <row r="36" spans="1:45" ht="27.75" customHeight="1" x14ac:dyDescent="0.5">
      <c r="A36" s="22"/>
      <c r="B36" s="8"/>
      <c r="C36" s="16" t="s">
        <v>146</v>
      </c>
      <c r="D36" s="54">
        <f>IFERROR(IF(Sweet!AE39="",0,Sweet!Y39),0)</f>
        <v>0</v>
      </c>
      <c r="E36" s="54">
        <f>IFERROR(IF(Bitter!AE39="",0,Bitter!AE39),0)</f>
        <v>0</v>
      </c>
      <c r="F36" s="54">
        <f>SUM(D36:E36)</f>
        <v>0</v>
      </c>
      <c r="G36" s="54">
        <f>IFERROR(IF(Sweet!AE40="",0,Sweet!Y40),0)</f>
        <v>0</v>
      </c>
      <c r="H36" s="54">
        <f>IFERROR(IF(Bitter!AE40="",0,Bitter!AE40),0)</f>
        <v>0</v>
      </c>
      <c r="I36" s="54">
        <f>SUM(G36:H36)</f>
        <v>0</v>
      </c>
      <c r="J36" s="54">
        <f>IFERROR(IF(Sweet!AE41="",0,Sweet!Y41),0)</f>
        <v>0</v>
      </c>
      <c r="K36" s="54">
        <f>IFERROR(IF(Bitter!AE41="",0,Bitter!AE41),0)</f>
        <v>0</v>
      </c>
      <c r="L36" s="54">
        <f>SUM(J36:K36)</f>
        <v>0</v>
      </c>
      <c r="M36" s="54">
        <f>IFERROR(IF(Sweet!AE42="",0,Sweet!Y42),0)</f>
        <v>0</v>
      </c>
      <c r="N36" s="54">
        <f>IFERROR(IF(Bitter!AE42="",0,Bitter!AE42),0)</f>
        <v>0</v>
      </c>
      <c r="O36" s="54">
        <f>SUM(M36:N36)</f>
        <v>0</v>
      </c>
      <c r="P36" s="54">
        <f>IFERROR(IF(Sweet!AE43="",0,Sweet!Y43),0)</f>
        <v>0</v>
      </c>
      <c r="Q36" s="54">
        <f>IFERROR(IF(Bitter!AE43="",0,Bitter!AE43),0)</f>
        <v>0</v>
      </c>
      <c r="R36" s="54">
        <f>SUM(P36:Q36)</f>
        <v>0</v>
      </c>
      <c r="S36" s="54">
        <f>IFERROR(IF(Sweet!AE44="",0,Sweet!Y44),0)</f>
        <v>0</v>
      </c>
      <c r="T36" s="54">
        <f>IFERROR(IF(Bitter!AE44="",0,Bitter!AE44),0)</f>
        <v>0</v>
      </c>
      <c r="U36" s="54">
        <f>SUM(S36:T36)</f>
        <v>0</v>
      </c>
      <c r="V36" s="54">
        <f>IFERROR(IF(Sweet!AE45="",0,Sweet!Y45),0)</f>
        <v>0</v>
      </c>
      <c r="W36" s="54">
        <f>IFERROR(IF(Bitter!AE45="",0,Bitter!AE45),0)</f>
        <v>0</v>
      </c>
      <c r="X36" s="54">
        <f>SUM(V36:W36)</f>
        <v>0</v>
      </c>
      <c r="Y36" s="54">
        <f>IFERROR(IF(Sweet!AE46="",0,Sweet!Y46),0)</f>
        <v>0</v>
      </c>
      <c r="Z36" s="54">
        <f>IFERROR(IF(Bitter!AE46="",0,Bitter!AE46),0)</f>
        <v>0</v>
      </c>
      <c r="AA36" s="54">
        <f>SUM(Y36:Z36)</f>
        <v>0</v>
      </c>
      <c r="AB36" s="54">
        <f>IFERROR(IF(Sweet!AE47="",0,Sweet!Y47),0)</f>
        <v>0</v>
      </c>
      <c r="AC36" s="54">
        <f>IFERROR(IF(Bitter!AE47="",0,Bitter!AE47),0)</f>
        <v>0</v>
      </c>
      <c r="AD36" s="54">
        <f>SUM(AB36:AC36)</f>
        <v>0</v>
      </c>
      <c r="AE36" s="54">
        <f>IFERROR(IF(Sweet!AE48="",0,Sweet!Y48),0)</f>
        <v>0</v>
      </c>
      <c r="AF36" s="54">
        <f>IFERROR(IF(Bitter!AE48="",0,Bitter!AE48),0)</f>
        <v>0</v>
      </c>
      <c r="AG36" s="54">
        <f>SUM(AE36:AF36)</f>
        <v>0</v>
      </c>
      <c r="AH36" s="54">
        <f>IFERROR(IF(Sweet!AE49="",0,Sweet!Y49),0)</f>
        <v>0</v>
      </c>
      <c r="AI36" s="54">
        <f>IFERROR(IF(Bitter!AE49="",0,Bitter!AE49),0)</f>
        <v>0</v>
      </c>
      <c r="AJ36" s="54">
        <f>SUM(AH36:AI36)</f>
        <v>0</v>
      </c>
      <c r="AK36" s="54">
        <f>IFERROR(IF(Sweet!AE50="",0,Sweet!Y50),0)</f>
        <v>0</v>
      </c>
      <c r="AL36" s="54">
        <f>IFERROR(IF(Bitter!AE50="",0,Bitter!AE50),0)</f>
        <v>0</v>
      </c>
      <c r="AM36" s="54">
        <f>SUM(AK36:AL36)</f>
        <v>0</v>
      </c>
      <c r="AN36" s="54">
        <f>D36+G36+J36+M36+P36+S36+V36+Y36+AB36+AE36+AH36+AK36</f>
        <v>0</v>
      </c>
      <c r="AO36" s="54">
        <f>E36+H36+K36+N36+Q36+T36+W36+Z36+AC36+AF36+AI36+AL36</f>
        <v>0</v>
      </c>
      <c r="AP36" s="54">
        <f>SUM(AN36:AO36)</f>
        <v>0</v>
      </c>
      <c r="AQ36" s="35" t="s">
        <v>147</v>
      </c>
      <c r="AR36" s="38"/>
      <c r="AS36" s="41"/>
    </row>
    <row r="37" spans="1:45" ht="27.75" customHeight="1" x14ac:dyDescent="0.5">
      <c r="A37" s="22"/>
      <c r="B37" s="8" t="s">
        <v>148</v>
      </c>
      <c r="C37" s="13"/>
      <c r="D37" s="52">
        <f t="shared" ref="D37:AP37" si="22">SUM(D38:D39)</f>
        <v>1147</v>
      </c>
      <c r="E37" s="52">
        <f t="shared" si="22"/>
        <v>835</v>
      </c>
      <c r="F37" s="52">
        <f t="shared" si="22"/>
        <v>1982</v>
      </c>
      <c r="G37" s="52">
        <f t="shared" si="22"/>
        <v>1995</v>
      </c>
      <c r="H37" s="52">
        <f t="shared" si="22"/>
        <v>0</v>
      </c>
      <c r="I37" s="52">
        <f t="shared" si="22"/>
        <v>1995</v>
      </c>
      <c r="J37" s="52">
        <f t="shared" si="22"/>
        <v>699</v>
      </c>
      <c r="K37" s="52">
        <f t="shared" si="22"/>
        <v>0</v>
      </c>
      <c r="L37" s="52">
        <f t="shared" si="22"/>
        <v>699</v>
      </c>
      <c r="M37" s="52">
        <f t="shared" si="22"/>
        <v>621</v>
      </c>
      <c r="N37" s="52">
        <f t="shared" si="22"/>
        <v>0</v>
      </c>
      <c r="O37" s="52">
        <f t="shared" si="22"/>
        <v>621</v>
      </c>
      <c r="P37" s="52">
        <f t="shared" si="22"/>
        <v>36</v>
      </c>
      <c r="Q37" s="52">
        <f t="shared" si="22"/>
        <v>0</v>
      </c>
      <c r="R37" s="52">
        <f t="shared" si="22"/>
        <v>36</v>
      </c>
      <c r="S37" s="52">
        <f t="shared" si="22"/>
        <v>725</v>
      </c>
      <c r="T37" s="52">
        <f t="shared" si="22"/>
        <v>0</v>
      </c>
      <c r="U37" s="52">
        <f t="shared" si="22"/>
        <v>725</v>
      </c>
      <c r="V37" s="52">
        <f t="shared" si="22"/>
        <v>839</v>
      </c>
      <c r="W37" s="52">
        <f t="shared" si="22"/>
        <v>225</v>
      </c>
      <c r="X37" s="52">
        <f t="shared" si="22"/>
        <v>1064</v>
      </c>
      <c r="Y37" s="52">
        <f t="shared" si="22"/>
        <v>15</v>
      </c>
      <c r="Z37" s="52">
        <f t="shared" si="22"/>
        <v>154</v>
      </c>
      <c r="AA37" s="52">
        <f t="shared" si="22"/>
        <v>169</v>
      </c>
      <c r="AB37" s="52">
        <f t="shared" si="22"/>
        <v>3</v>
      </c>
      <c r="AC37" s="52">
        <f t="shared" si="22"/>
        <v>0</v>
      </c>
      <c r="AD37" s="52">
        <f t="shared" si="22"/>
        <v>3</v>
      </c>
      <c r="AE37" s="52">
        <f t="shared" si="22"/>
        <v>34</v>
      </c>
      <c r="AF37" s="52">
        <f t="shared" si="22"/>
        <v>0</v>
      </c>
      <c r="AG37" s="52">
        <f t="shared" si="22"/>
        <v>34</v>
      </c>
      <c r="AH37" s="52">
        <f t="shared" si="22"/>
        <v>9</v>
      </c>
      <c r="AI37" s="52">
        <f t="shared" si="22"/>
        <v>0</v>
      </c>
      <c r="AJ37" s="52">
        <f t="shared" si="22"/>
        <v>9</v>
      </c>
      <c r="AK37" s="52">
        <f t="shared" si="22"/>
        <v>105</v>
      </c>
      <c r="AL37" s="52">
        <f t="shared" si="22"/>
        <v>0</v>
      </c>
      <c r="AM37" s="52">
        <f t="shared" si="22"/>
        <v>105</v>
      </c>
      <c r="AN37" s="52">
        <f t="shared" si="22"/>
        <v>6228</v>
      </c>
      <c r="AO37" s="52">
        <f t="shared" si="22"/>
        <v>1214</v>
      </c>
      <c r="AP37" s="52">
        <f t="shared" si="22"/>
        <v>7442</v>
      </c>
      <c r="AQ37" s="32" t="s">
        <v>149</v>
      </c>
      <c r="AR37" s="38"/>
      <c r="AS37" s="41"/>
    </row>
    <row r="38" spans="1:45" ht="27.75" customHeight="1" x14ac:dyDescent="0.5">
      <c r="A38" s="22"/>
      <c r="B38" s="8"/>
      <c r="C38" s="15" t="s">
        <v>150</v>
      </c>
      <c r="D38" s="53">
        <f>IFERROR(IF(Sweet!R39="",0,Sweet!R39),0) - SUMIF(DeurvoerSweet!A21:A32,Sweet!A39,DeurvoerSweet!C21:C32)</f>
        <v>1147</v>
      </c>
      <c r="E38" s="53">
        <f>IFERROR(IF(Bitter!R39="",0,Bitter!R39),0) - SUMIF(DeurvoerBitter!A21:A32,Bitter!A39,DeurvoerBitter!C21:C32)</f>
        <v>835</v>
      </c>
      <c r="F38" s="53">
        <f>SUM(D38:E38)</f>
        <v>1982</v>
      </c>
      <c r="G38" s="53">
        <f>IFERROR(IF(Sweet!R40="",0,Sweet!R40),0) - SUMIF(DeurvoerSweet!A21:A32,Sweet!A40,DeurvoerSweet!C21:C32)</f>
        <v>1995</v>
      </c>
      <c r="H38" s="53">
        <f>IFERROR(IF(Bitter!R40="",0,Bitter!R40),0) - SUMIF(DeurvoerBitter!A21:A32,Bitter!A40,DeurvoerBitter!C21:C32)</f>
        <v>0</v>
      </c>
      <c r="I38" s="53">
        <f>SUM(G38:H38)</f>
        <v>1995</v>
      </c>
      <c r="J38" s="53">
        <f>IFERROR(IF(Sweet!R41="",0,Sweet!R41),0) - SUMIF(DeurvoerSweet!A21:A32,Sweet!A41,DeurvoerSweet!C21:C32)</f>
        <v>699</v>
      </c>
      <c r="K38" s="53">
        <f>IFERROR(IF(Bitter!R41="",0,Bitter!R41),0) - SUMIF(DeurvoerBitter!A21:A32,Bitter!A41,DeurvoerBitter!C21:C32)</f>
        <v>0</v>
      </c>
      <c r="L38" s="53">
        <f>SUM(J38:K38)</f>
        <v>699</v>
      </c>
      <c r="M38" s="53">
        <f>IFERROR(IF(Sweet!R42="",0,Sweet!R42),0) - SUMIF(DeurvoerSweet!A21:A32,Sweet!A42,DeurvoerSweet!C21:C32)</f>
        <v>621</v>
      </c>
      <c r="N38" s="53">
        <f>IFERROR(IF(Bitter!R42="",0,Bitter!R42),0) - SUMIF(DeurvoerBitter!A21:A32,Bitter!A42,DeurvoerBitter!C21:C32)</f>
        <v>0</v>
      </c>
      <c r="O38" s="53">
        <f>SUM(M38:N38)</f>
        <v>621</v>
      </c>
      <c r="P38" s="53">
        <f>IFERROR(IF(Sweet!R43="",0,Sweet!R43),0) - SUMIF(DeurvoerSweet!A21:A32,Sweet!A43,DeurvoerSweet!C21:C32)</f>
        <v>36</v>
      </c>
      <c r="Q38" s="53">
        <f>IFERROR(IF(Bitter!R43="",0,Bitter!R43),0) - SUMIF(DeurvoerBitter!A21:A32,Bitter!A43,DeurvoerBitter!C21:C32)</f>
        <v>0</v>
      </c>
      <c r="R38" s="53">
        <f>SUM(P38:Q38)</f>
        <v>36</v>
      </c>
      <c r="S38" s="53">
        <f>IFERROR(IF(Sweet!R44="",0,Sweet!R44),0) - SUMIF(DeurvoerSweet!A21:A32,Sweet!A44,DeurvoerSweet!C21:C32)</f>
        <v>725</v>
      </c>
      <c r="T38" s="53">
        <f>IFERROR(IF(Bitter!R44="",0,Bitter!R44),0) - SUMIF(DeurvoerBitter!A21:A32,Bitter!A44,DeurvoerBitter!C21:C32)</f>
        <v>0</v>
      </c>
      <c r="U38" s="53">
        <f>SUM(S38:T38)</f>
        <v>725</v>
      </c>
      <c r="V38" s="53">
        <f>IFERROR(IF(Sweet!R45="",0,Sweet!R45),0) - SUMIF(DeurvoerSweet!A21:A32,Sweet!A45,DeurvoerSweet!C21:C32)</f>
        <v>839</v>
      </c>
      <c r="W38" s="53">
        <f>IFERROR(IF(Bitter!R45="",0,Bitter!R45),0) - SUMIF(DeurvoerBitter!A21:A32,Bitter!A45,DeurvoerBitter!C21:C32)</f>
        <v>225</v>
      </c>
      <c r="X38" s="53">
        <f>SUM(V38:W38)</f>
        <v>1064</v>
      </c>
      <c r="Y38" s="53">
        <f>IFERROR(IF(Sweet!R46="",0,Sweet!R46),0) - SUMIF(DeurvoerSweet!A21:A32,Sweet!A46,DeurvoerSweet!C21:C32)</f>
        <v>15</v>
      </c>
      <c r="Z38" s="53">
        <f>IFERROR(IF(Bitter!R46="",0,Bitter!R46),0) - SUMIF(DeurvoerBitter!A21:A32,Bitter!A46,DeurvoerBitter!C21:C32)</f>
        <v>154</v>
      </c>
      <c r="AA38" s="53">
        <f>SUM(Y38:Z38)</f>
        <v>169</v>
      </c>
      <c r="AB38" s="53">
        <f>IFERROR(IF(Sweet!R47="",0,Sweet!R47),0) - SUMIF(DeurvoerSweet!A21:A32,Sweet!A47,DeurvoerSweet!C21:C32)</f>
        <v>3</v>
      </c>
      <c r="AC38" s="53">
        <f>IFERROR(IF(Bitter!R47="",0,Bitter!R47),0) - SUMIF(DeurvoerBitter!A21:A32,Bitter!A47,DeurvoerBitter!C21:C32)</f>
        <v>0</v>
      </c>
      <c r="AD38" s="53">
        <f>SUM(AB38:AC38)</f>
        <v>3</v>
      </c>
      <c r="AE38" s="53">
        <f>IFERROR(IF(Sweet!R48="",0,Sweet!R48),0) - SUMIF(DeurvoerSweet!A21:A32,Sweet!A48,DeurvoerSweet!C21:C32)</f>
        <v>34</v>
      </c>
      <c r="AF38" s="53">
        <f>IFERROR(IF(Bitter!R48="",0,Bitter!R48),0) - SUMIF(DeurvoerBitter!A21:A32,Bitter!A48,DeurvoerBitter!C21:C32)</f>
        <v>0</v>
      </c>
      <c r="AG38" s="53">
        <f>SUM(AE38:AF38)</f>
        <v>34</v>
      </c>
      <c r="AH38" s="53">
        <f>IFERROR(IF(Sweet!R49="",0,Sweet!R49),0) - SUMIF(DeurvoerSweet!A21:A32,Sweet!A49,DeurvoerSweet!C21:C32)</f>
        <v>9</v>
      </c>
      <c r="AI38" s="53">
        <f>IFERROR(IF(Bitter!R49="",0,Bitter!R49),0) - SUMIF(DeurvoerBitter!A21:A32,Bitter!A49,DeurvoerBitter!C21:C32)</f>
        <v>0</v>
      </c>
      <c r="AJ38" s="53">
        <f>SUM(AH38:AI38)</f>
        <v>9</v>
      </c>
      <c r="AK38" s="53">
        <f>IFERROR(IF(Sweet!R50="",0,Sweet!R50),0) - SUMIF(DeurvoerSweet!A21:A32,Sweet!A50,DeurvoerSweet!C21:C32)</f>
        <v>105</v>
      </c>
      <c r="AL38" s="53">
        <f>IFERROR(IF(Bitter!R50="",0,Bitter!R50),0) - SUMIF(DeurvoerBitter!A21:A32,Bitter!A50,DeurvoerBitter!C21:C32)</f>
        <v>0</v>
      </c>
      <c r="AM38" s="53">
        <f>SUM(AK38:AL38)</f>
        <v>105</v>
      </c>
      <c r="AN38" s="53">
        <f>D38+G38+J38+M38+P38+S38+V38+Y38+AB38+AE38+AH38+AK38</f>
        <v>6228</v>
      </c>
      <c r="AO38" s="53">
        <f>E38+H38+K38+N38+Q38+T38+W38+Z38+AC38+AF38+AI38+AL38</f>
        <v>1214</v>
      </c>
      <c r="AP38" s="53">
        <f>SUM(AN38:AO38)</f>
        <v>7442</v>
      </c>
      <c r="AQ38" s="33" t="s">
        <v>151</v>
      </c>
      <c r="AR38" s="38"/>
      <c r="AS38" s="41"/>
    </row>
    <row r="39" spans="1:45" ht="27.75" customHeight="1" x14ac:dyDescent="0.5">
      <c r="A39" s="22"/>
      <c r="B39" s="9"/>
      <c r="C39" s="16" t="s">
        <v>152</v>
      </c>
      <c r="D39" s="54">
        <f>IFERROR(IF(Sweet!S39="",0,Sweet!S39),0) - SUMIF(DeurvoerSweet!A21:A32,Sweet!A39,DeurvoerSweet!B21:B32)</f>
        <v>0</v>
      </c>
      <c r="E39" s="54">
        <f>IFERROR(IF(Bitter!S39="",0,Bitter!S39),0) - SUMIF(DeurvoerBitter!A21:A32,Bitter!A39,DeurvoerBitter!B21:B32)</f>
        <v>0</v>
      </c>
      <c r="F39" s="54">
        <f>SUM(D39:E39)</f>
        <v>0</v>
      </c>
      <c r="G39" s="54">
        <f>IFERROR(IF(Sweet!S40="",0,Sweet!S40),0) - SUMIF(DeurvoerSweet!A21:A32,Sweet!A40,DeurvoerSweet!B21:B32)</f>
        <v>0</v>
      </c>
      <c r="H39" s="54">
        <f>IFERROR(IF(Bitter!S40="",0,Bitter!S40),0) - SUMIF(DeurvoerBitter!A21:A32,Bitter!A40,DeurvoerBitter!B21:B32)</f>
        <v>0</v>
      </c>
      <c r="I39" s="54">
        <f>SUM(G39:H39)</f>
        <v>0</v>
      </c>
      <c r="J39" s="54">
        <f>IFERROR(IF(Sweet!S41="",0,Sweet!S41),0) - SUMIF(DeurvoerSweet!A21:A32,Sweet!A41,DeurvoerSweet!B21:B32)</f>
        <v>0</v>
      </c>
      <c r="K39" s="54">
        <f>IFERROR(IF(Bitter!S41="",0,Bitter!S41),0) - SUMIF(DeurvoerBitter!A21:A32,Bitter!A41,DeurvoerBitter!B21:B32)</f>
        <v>0</v>
      </c>
      <c r="L39" s="54">
        <f>SUM(J39:K39)</f>
        <v>0</v>
      </c>
      <c r="M39" s="54">
        <f>IFERROR(IF(Sweet!S42="",0,Sweet!S42),0) - SUMIF(DeurvoerSweet!A21:A32,Sweet!A42,DeurvoerSweet!B21:B32)</f>
        <v>0</v>
      </c>
      <c r="N39" s="54">
        <f>IFERROR(IF(Bitter!S42="",0,Bitter!S42),0) - SUMIF(DeurvoerBitter!A21:A32,Bitter!A42,DeurvoerBitter!B21:B32)</f>
        <v>0</v>
      </c>
      <c r="O39" s="54">
        <f>SUM(M39:N39)</f>
        <v>0</v>
      </c>
      <c r="P39" s="54">
        <f>IFERROR(IF(Sweet!S43="",0,Sweet!S43),0) - SUMIF(DeurvoerSweet!A21:A32,Sweet!A43,DeurvoerSweet!B21:B32)</f>
        <v>0</v>
      </c>
      <c r="Q39" s="54">
        <f>IFERROR(IF(Bitter!S43="",0,Bitter!S43),0) - SUMIF(DeurvoerBitter!A21:A32,Bitter!A43,DeurvoerBitter!B21:B32)</f>
        <v>0</v>
      </c>
      <c r="R39" s="54">
        <f>SUM(P39:Q39)</f>
        <v>0</v>
      </c>
      <c r="S39" s="54">
        <f>IFERROR(IF(Sweet!S44="",0,Sweet!S44),0) - SUMIF(DeurvoerSweet!A21:A32,Sweet!A44,DeurvoerSweet!B21:B32)</f>
        <v>0</v>
      </c>
      <c r="T39" s="54">
        <f>IFERROR(IF(Bitter!S44="",0,Bitter!S44),0) - SUMIF(DeurvoerBitter!A21:A32,Bitter!A44,DeurvoerBitter!B21:B32)</f>
        <v>0</v>
      </c>
      <c r="U39" s="54">
        <f>SUM(S39:T39)</f>
        <v>0</v>
      </c>
      <c r="V39" s="54">
        <f>IFERROR(IF(Sweet!S45="",0,Sweet!S45),0) - SUMIF(DeurvoerSweet!A21:A32,Sweet!A45,DeurvoerSweet!B21:B32)</f>
        <v>0</v>
      </c>
      <c r="W39" s="54">
        <f>IFERROR(IF(Bitter!S45="",0,Bitter!S45),0) - SUMIF(DeurvoerBitter!A21:A32,Bitter!A45,DeurvoerBitter!B21:B32)</f>
        <v>0</v>
      </c>
      <c r="X39" s="54">
        <f>SUM(V39:W39)</f>
        <v>0</v>
      </c>
      <c r="Y39" s="54">
        <f>IFERROR(IF(Sweet!S46="",0,Sweet!S46),0) - SUMIF(DeurvoerSweet!A21:A32,Sweet!A46,DeurvoerSweet!B21:B32)</f>
        <v>0</v>
      </c>
      <c r="Z39" s="54">
        <f>IFERROR(IF(Bitter!S46="",0,Bitter!S46),0) - SUMIF(DeurvoerBitter!A21:A32,Bitter!A46,DeurvoerBitter!B21:B32)</f>
        <v>0</v>
      </c>
      <c r="AA39" s="54">
        <f>SUM(Y39:Z39)</f>
        <v>0</v>
      </c>
      <c r="AB39" s="54">
        <f>IFERROR(IF(Sweet!S47="",0,Sweet!S47),0) - SUMIF(DeurvoerSweet!A21:A32,Sweet!A47,DeurvoerSweet!B21:B32)</f>
        <v>0</v>
      </c>
      <c r="AC39" s="54">
        <f>IFERROR(IF(Bitter!S47="",0,Bitter!S47),0) - SUMIF(DeurvoerBitter!A21:A32,Bitter!A47,DeurvoerBitter!B21:B32)</f>
        <v>0</v>
      </c>
      <c r="AD39" s="54">
        <f>SUM(AB39:AC39)</f>
        <v>0</v>
      </c>
      <c r="AE39" s="54">
        <f>IFERROR(IF(Sweet!S48="",0,Sweet!S48),0) - SUMIF(DeurvoerSweet!A21:A32,Sweet!A48,DeurvoerSweet!B21:B32)</f>
        <v>0</v>
      </c>
      <c r="AF39" s="54">
        <f>IFERROR(IF(Bitter!S48="",0,Bitter!S48),0) - SUMIF(DeurvoerBitter!A21:A32,Bitter!A48,DeurvoerBitter!B21:B32)</f>
        <v>0</v>
      </c>
      <c r="AG39" s="54">
        <f>SUM(AE39:AF39)</f>
        <v>0</v>
      </c>
      <c r="AH39" s="54">
        <f>IFERROR(IF(Sweet!S49="",0,Sweet!S49),0) - SUMIF(DeurvoerSweet!A21:A32,Sweet!A49,DeurvoerSweet!B21:B32)</f>
        <v>0</v>
      </c>
      <c r="AI39" s="54">
        <f>IFERROR(IF(Bitter!S49="",0,Bitter!S49),0) - SUMIF(DeurvoerBitter!A21:A32,Bitter!A49,DeurvoerBitter!B21:B32)</f>
        <v>0</v>
      </c>
      <c r="AJ39" s="54">
        <f>SUM(AH39:AI39)</f>
        <v>0</v>
      </c>
      <c r="AK39" s="54">
        <f>IFERROR(IF(Sweet!S50="",0,Sweet!S50),0) - SUMIF(DeurvoerSweet!A21:A32,Sweet!A50,DeurvoerSweet!B21:B32)</f>
        <v>0</v>
      </c>
      <c r="AL39" s="54">
        <f>IFERROR(IF(Bitter!S50="",0,Bitter!S50),0) - SUMIF(DeurvoerBitter!A21:A32,Bitter!A50,DeurvoerBitter!B21:B32)</f>
        <v>0</v>
      </c>
      <c r="AM39" s="54">
        <f>SUM(AK39:AL39)</f>
        <v>0</v>
      </c>
      <c r="AN39" s="54">
        <f>D39+G39+J39+M39+P39+S39+V39+Y39+AB39+AE39+AH39+AK39</f>
        <v>0</v>
      </c>
      <c r="AO39" s="54">
        <f>E39+H39+K39+N39+Q39+T39+W39+Z39+AC39+AF39+AI39+AL39</f>
        <v>0</v>
      </c>
      <c r="AP39" s="54">
        <f>SUM(AN39:AO39)</f>
        <v>0</v>
      </c>
      <c r="AQ39" s="35" t="s">
        <v>153</v>
      </c>
      <c r="AR39" s="37"/>
      <c r="AS39" s="41"/>
    </row>
    <row r="40" spans="1:45" ht="27.75" customHeight="1" x14ac:dyDescent="0.5">
      <c r="A40" s="2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32"/>
      <c r="AR40" s="29"/>
      <c r="AS40" s="41"/>
    </row>
    <row r="41" spans="1:45" ht="27.75" customHeight="1" x14ac:dyDescent="0.5">
      <c r="A41" s="22" t="s">
        <v>154</v>
      </c>
      <c r="D41" s="52">
        <f t="shared" ref="D41:AP41" si="23">SUM(D42+D43)</f>
        <v>359</v>
      </c>
      <c r="E41" s="52">
        <f t="shared" si="23"/>
        <v>-328</v>
      </c>
      <c r="F41" s="52">
        <f t="shared" si="23"/>
        <v>31</v>
      </c>
      <c r="G41" s="52">
        <f t="shared" si="23"/>
        <v>3549</v>
      </c>
      <c r="H41" s="52">
        <f t="shared" si="23"/>
        <v>-532</v>
      </c>
      <c r="I41" s="52">
        <f t="shared" si="23"/>
        <v>3017</v>
      </c>
      <c r="J41" s="52">
        <f t="shared" si="23"/>
        <v>-1136</v>
      </c>
      <c r="K41" s="52">
        <f t="shared" si="23"/>
        <v>1878</v>
      </c>
      <c r="L41" s="52">
        <f t="shared" si="23"/>
        <v>742</v>
      </c>
      <c r="M41" s="52">
        <f t="shared" si="23"/>
        <v>801</v>
      </c>
      <c r="N41" s="52">
        <f t="shared" si="23"/>
        <v>124</v>
      </c>
      <c r="O41" s="52">
        <f t="shared" si="23"/>
        <v>925</v>
      </c>
      <c r="P41" s="52">
        <f t="shared" si="23"/>
        <v>-79</v>
      </c>
      <c r="Q41" s="52">
        <f t="shared" si="23"/>
        <v>-230</v>
      </c>
      <c r="R41" s="52">
        <f t="shared" si="23"/>
        <v>-309</v>
      </c>
      <c r="S41" s="52">
        <f t="shared" si="23"/>
        <v>872</v>
      </c>
      <c r="T41" s="52">
        <f t="shared" si="23"/>
        <v>61</v>
      </c>
      <c r="U41" s="52">
        <f t="shared" si="23"/>
        <v>933</v>
      </c>
      <c r="V41" s="52">
        <f t="shared" si="23"/>
        <v>-128</v>
      </c>
      <c r="W41" s="52">
        <f t="shared" si="23"/>
        <v>-55</v>
      </c>
      <c r="X41" s="52">
        <f t="shared" si="23"/>
        <v>-183</v>
      </c>
      <c r="Y41" s="52">
        <f t="shared" si="23"/>
        <v>384</v>
      </c>
      <c r="Z41" s="52">
        <f t="shared" si="23"/>
        <v>-351</v>
      </c>
      <c r="AA41" s="52">
        <f t="shared" si="23"/>
        <v>33</v>
      </c>
      <c r="AB41" s="52">
        <f t="shared" si="23"/>
        <v>-53</v>
      </c>
      <c r="AC41" s="52">
        <f t="shared" si="23"/>
        <v>-103</v>
      </c>
      <c r="AD41" s="52">
        <f t="shared" si="23"/>
        <v>-156</v>
      </c>
      <c r="AE41" s="52">
        <f t="shared" si="23"/>
        <v>-454</v>
      </c>
      <c r="AF41" s="52">
        <f t="shared" si="23"/>
        <v>-204</v>
      </c>
      <c r="AG41" s="52">
        <f t="shared" si="23"/>
        <v>-658</v>
      </c>
      <c r="AH41" s="52">
        <f t="shared" si="23"/>
        <v>2333</v>
      </c>
      <c r="AI41" s="52">
        <f t="shared" si="23"/>
        <v>-332</v>
      </c>
      <c r="AJ41" s="52">
        <f t="shared" si="23"/>
        <v>2001</v>
      </c>
      <c r="AK41" s="52">
        <f t="shared" si="23"/>
        <v>255</v>
      </c>
      <c r="AL41" s="52">
        <f t="shared" si="23"/>
        <v>-9</v>
      </c>
      <c r="AM41" s="52">
        <f t="shared" si="23"/>
        <v>246</v>
      </c>
      <c r="AN41" s="52">
        <f t="shared" si="23"/>
        <v>6703</v>
      </c>
      <c r="AO41" s="52">
        <f t="shared" si="23"/>
        <v>-81</v>
      </c>
      <c r="AP41" s="52">
        <f t="shared" si="23"/>
        <v>6622</v>
      </c>
      <c r="AQ41" s="32"/>
      <c r="AR41" s="29"/>
      <c r="AS41" s="41" t="s">
        <v>155</v>
      </c>
    </row>
    <row r="42" spans="1:45" ht="27.75" customHeight="1" x14ac:dyDescent="0.5">
      <c r="A42" s="22"/>
      <c r="B42" s="7" t="s">
        <v>156</v>
      </c>
      <c r="C42" s="12"/>
      <c r="D42" s="53">
        <f>IFERROR(IF((-Sweet!F39 - Sweet!G39 - Sweet!AF39 - Sweet!AG39 + Sweet!W39 + Sweet!X39)="",0,(-Sweet!F39 - Sweet!G39 - Sweet!AF39 - Sweet!AG39 + Sweet!W39 + Sweet!X39)),0)</f>
        <v>112</v>
      </c>
      <c r="E42" s="53">
        <f>IFERROR(IF((-Bitter!F39 - Bitter!G39 - Bitter!AF39 - Bitter!AG39 + Bitter!W39 + Bitter!X39)="",0,(-Bitter!F39 - Bitter!G39 - Bitter!AF39 - Bitter!AG39 + Bitter!W39 + Bitter!X39)),0)</f>
        <v>-57</v>
      </c>
      <c r="F42" s="53">
        <f>SUM(D42:E42)</f>
        <v>55</v>
      </c>
      <c r="G42" s="53">
        <f>IFERROR(IF((-Sweet!F40 - Sweet!G40 - Sweet!AF40 - Sweet!AG40 + Sweet!W40 + Sweet!X40)="",0,(-Sweet!F40 - Sweet!G40 - Sweet!AF40 - Sweet!AG40 + Sweet!W40 + Sweet!X40)),0)</f>
        <v>52</v>
      </c>
      <c r="H42" s="53">
        <f>IFERROR(IF((-Bitter!F40 - Bitter!G40 - Bitter!AF40 - Bitter!AG40 + Bitter!W40 + Bitter!X40)="",0,(-Bitter!F40 - Bitter!G40 - Bitter!AF40 - Bitter!AG40 + Bitter!W40 + Bitter!X40)),0)</f>
        <v>11</v>
      </c>
      <c r="I42" s="53">
        <f>SUM(G42:H42)</f>
        <v>63</v>
      </c>
      <c r="J42" s="53">
        <f>IFERROR(IF((-Sweet!F41 - Sweet!G41 - Sweet!AF41 - Sweet!AG41 + Sweet!W41 + Sweet!X41)="",0,(-Sweet!F41 - Sweet!G41 - Sweet!AF41 - Sweet!AG41 + Sweet!W41 + Sweet!X41)),0)</f>
        <v>193</v>
      </c>
      <c r="K42" s="53">
        <f>IFERROR(IF((-Bitter!F41 - Bitter!G41 - Bitter!AF41 - Bitter!AG41 + Bitter!W41 + Bitter!X41)="",0,(-Bitter!F41 - Bitter!G41 - Bitter!AF41 - Bitter!AG41 + Bitter!W41 + Bitter!X41)),0)</f>
        <v>76</v>
      </c>
      <c r="L42" s="53">
        <f>SUM(J42:K42)</f>
        <v>269</v>
      </c>
      <c r="M42" s="53">
        <f>IFERROR(IF((-Sweet!F42 - Sweet!G42 - Sweet!AF42 - Sweet!AG42 + Sweet!W42 + Sweet!X42)="",0,(-Sweet!F42 - Sweet!G42 - Sweet!AF42 - Sweet!AG42 + Sweet!W42 + Sweet!X42)),0)</f>
        <v>251</v>
      </c>
      <c r="N42" s="53">
        <f>IFERROR(IF((-Bitter!F42 - Bitter!G42 - Bitter!AF42 - Bitter!AG42 + Bitter!W42 + Bitter!X42)="",0,(-Bitter!F42 - Bitter!G42 - Bitter!AF42 - Bitter!AG42 + Bitter!W42 + Bitter!X42)),0)</f>
        <v>50</v>
      </c>
      <c r="O42" s="53">
        <f>SUM(M42:N42)</f>
        <v>301</v>
      </c>
      <c r="P42" s="53">
        <f>IFERROR(IF((-Sweet!F43 - Sweet!G43 - Sweet!AF43 - Sweet!AG43 + Sweet!W43 + Sweet!X43)="",0,(-Sweet!F43 - Sweet!G43 - Sweet!AF43 - Sweet!AG43 + Sweet!W43 + Sweet!X43)),0)</f>
        <v>63</v>
      </c>
      <c r="Q42" s="53">
        <f>IFERROR(IF((-Bitter!F43 - Bitter!G43 - Bitter!AF43 - Bitter!AG43 + Bitter!W43 + Bitter!X43)="",0,(-Bitter!F43 - Bitter!G43 - Bitter!AF43 - Bitter!AG43 + Bitter!W43 + Bitter!X43)),0)</f>
        <v>-201</v>
      </c>
      <c r="R42" s="53">
        <f>SUM(P42:Q42)</f>
        <v>-138</v>
      </c>
      <c r="S42" s="53">
        <f>IFERROR(IF((-Sweet!F44 - Sweet!G44 - Sweet!AF44 - Sweet!AG44 + Sweet!W44 + Sweet!X44)="",0,(-Sweet!F44 - Sweet!G44 - Sweet!AF44 - Sweet!AG44 + Sweet!W44 + Sweet!X44)),0)</f>
        <v>57</v>
      </c>
      <c r="T42" s="53">
        <f>IFERROR(IF((-Bitter!F44 - Bitter!G44 - Bitter!AF44 - Bitter!AG44 + Bitter!W44 + Bitter!X44)="",0,(-Bitter!F44 - Bitter!G44 - Bitter!AF44 - Bitter!AG44 + Bitter!W44 + Bitter!X44)),0)</f>
        <v>14</v>
      </c>
      <c r="U42" s="53">
        <f>SUM(S42:T42)</f>
        <v>71</v>
      </c>
      <c r="V42" s="53">
        <f>IFERROR(IF((-Sweet!F45 - Sweet!G45 - Sweet!AF45 - Sweet!AG45 + Sweet!W45 + Sweet!X45)="",0,(-Sweet!F45 - Sweet!G45 - Sweet!AF45 - Sweet!AG45 + Sweet!W45 + Sweet!X45)),0)</f>
        <v>-107</v>
      </c>
      <c r="W42" s="53">
        <f>IFERROR(IF((-Bitter!F45 - Bitter!G45 - Bitter!AF45 - Bitter!AG45 + Bitter!W45 + Bitter!X45)="",0,(-Bitter!F45 - Bitter!G45 - Bitter!AF45 - Bitter!AG45 + Bitter!W45 + Bitter!X45)),0)</f>
        <v>49</v>
      </c>
      <c r="X42" s="53">
        <f>SUM(V42:W42)</f>
        <v>-58</v>
      </c>
      <c r="Y42" s="53">
        <f>IFERROR(IF((-Sweet!F46 - Sweet!G46 - Sweet!AF46 - Sweet!AG46 + Sweet!W46 + Sweet!X46)="",0,(-Sweet!F46 - Sweet!G46 - Sweet!AF46 - Sweet!AG46 + Sweet!W46 + Sweet!X46)),0)</f>
        <v>322</v>
      </c>
      <c r="Z42" s="53">
        <f>IFERROR(IF((-Bitter!F46 - Bitter!G46 - Bitter!AF46 - Bitter!AG46 + Bitter!W46 + Bitter!X46)="",0,(-Bitter!F46 - Bitter!G46 - Bitter!AF46 - Bitter!AG46 + Bitter!W46 + Bitter!X46)),0)</f>
        <v>74</v>
      </c>
      <c r="AA42" s="53">
        <f>SUM(Y42:Z42)</f>
        <v>396</v>
      </c>
      <c r="AB42" s="53">
        <f>IFERROR(IF((-Sweet!F47 - Sweet!G47 - Sweet!AF47 - Sweet!AG47 + Sweet!W47 + Sweet!X47)="",0,(-Sweet!F47 - Sweet!G47 - Sweet!AF47 - Sweet!AG47 + Sweet!W47 + Sweet!X47)),0)</f>
        <v>-14</v>
      </c>
      <c r="AC42" s="53">
        <f>IFERROR(IF((-Bitter!F47 - Bitter!G47 - Bitter!AF47 - Bitter!AG47 + Bitter!W47 + Bitter!X47)="",0,(-Bitter!F47 - Bitter!G47 - Bitter!AF47 - Bitter!AG47 + Bitter!W47 + Bitter!X47)),0)</f>
        <v>43</v>
      </c>
      <c r="AD42" s="53">
        <f>SUM(AB42:AC42)</f>
        <v>29</v>
      </c>
      <c r="AE42" s="53">
        <f>IFERROR(IF((-Sweet!F48 - Sweet!G48 - Sweet!AF48 - Sweet!AG48 + Sweet!W48 + Sweet!X48)="",0,(-Sweet!F48 - Sweet!G48 - Sweet!AF48 - Sweet!AG48 + Sweet!W48 + Sweet!X48)),0)</f>
        <v>253</v>
      </c>
      <c r="AF42" s="53">
        <f>IFERROR(IF((-Bitter!F48 - Bitter!G48 - Bitter!AF48 - Bitter!AG48 + Bitter!W48 + Bitter!X48)="",0,(-Bitter!F48 - Bitter!G48 - Bitter!AF48 - Bitter!AG48 + Bitter!W48 + Bitter!X48)),0)</f>
        <v>-89</v>
      </c>
      <c r="AG42" s="53">
        <f>SUM(AE42:AF42)</f>
        <v>164</v>
      </c>
      <c r="AH42" s="53">
        <f>IFERROR(IF((-Sweet!F49 - Sweet!G49 - Sweet!AF49 - Sweet!AG49 + Sweet!W49 + Sweet!X49)="",0,(-Sweet!F49 - Sweet!G49 - Sweet!AF49 - Sweet!AG49 + Sweet!W49 + Sweet!X49)),0)</f>
        <v>234</v>
      </c>
      <c r="AI42" s="53">
        <f>IFERROR(IF((-Bitter!F49 - Bitter!G49 - Bitter!AF49 - Bitter!AG49 + Bitter!W49 + Bitter!X49)="",0,(-Bitter!F49 - Bitter!G49 - Bitter!AF49 - Bitter!AG49 + Bitter!W49 + Bitter!X49)),0)</f>
        <v>-215</v>
      </c>
      <c r="AJ42" s="53">
        <f>SUM(AH42:AI42)</f>
        <v>19</v>
      </c>
      <c r="AK42" s="53">
        <f>IFERROR(IF((-Sweet!F50 - Sweet!G50 - Sweet!AF50 - Sweet!AG50 + Sweet!W50 + Sweet!X50)="",0,(-Sweet!F50 - Sweet!G50 - Sweet!AF50 - Sweet!AG50 + Sweet!W50 + Sweet!X50)),0)</f>
        <v>-125</v>
      </c>
      <c r="AL42" s="53">
        <f>IFERROR(IF((-Bitter!F50 - Bitter!G50 - Bitter!AF50 - Bitter!AG50 + Bitter!W50 + Bitter!X50)="",0,(-Bitter!F50 - Bitter!G50 - Bitter!AF50 - Bitter!AG50 + Bitter!W50 + Bitter!X50)),0)</f>
        <v>55</v>
      </c>
      <c r="AM42" s="53">
        <f>SUM(AK42:AL42)</f>
        <v>-70</v>
      </c>
      <c r="AN42" s="53">
        <f>D42+G42+J42+M42+P42+S42+V42+Y42+AB42+AE42+AH42+AK42</f>
        <v>1291</v>
      </c>
      <c r="AO42" s="53">
        <f>E42+H42+K42+N42+Q42+T42+W42+Z42+AC42+AF42+AI42+AL42</f>
        <v>-190</v>
      </c>
      <c r="AP42" s="53">
        <f>SUM(AN42:AO42)</f>
        <v>1101</v>
      </c>
      <c r="AQ42" s="30"/>
      <c r="AR42" s="36" t="s">
        <v>157</v>
      </c>
      <c r="AS42" s="41"/>
    </row>
    <row r="43" spans="1:45" ht="27.75" customHeight="1" x14ac:dyDescent="0.5">
      <c r="A43" s="22"/>
      <c r="B43" s="9" t="s">
        <v>158</v>
      </c>
      <c r="C43" s="14"/>
      <c r="D43" s="54">
        <f>IFERROR(IF((Sweet!AA39 - Sweet!H39)="",0,(Sweet!AA39 - Sweet!H39)),0) - SUMIF(DeurvoerSweet!I5:I16,Sweet!A5,DeurvoerSweet!N5:N16) + SUMIF(DeurvoerSweet!I5:I16,Sweet!A5,DeurvoerSweet!M5:M16)</f>
        <v>247</v>
      </c>
      <c r="E43" s="54">
        <f>IFERROR(IF((Bitter!AA39 - Bitter!H39)="",0,(Bitter!AA39 - Bitter!H39)),0) + SUMIF(DeurvoerBitter!I5:I16,Bitter!A5,DeurvoerBitter!N5:N16) - SUMIF(DeurvoerBitter!I5:I16,Bitter!A5,DeurvoerBitter!M5:M16)</f>
        <v>-271</v>
      </c>
      <c r="F43" s="54">
        <f>SUM(D43:E43)</f>
        <v>-24</v>
      </c>
      <c r="G43" s="54">
        <f>IFERROR(IF((Sweet!AA40 - Sweet!H40)="",0,(Sweet!AA40 - Sweet!H40)),0) - SUMIF(DeurvoerSweet!I5:I16,Sweet!A6,DeurvoerSweet!N5:N16) + SUMIF(DeurvoerSweet!I5:I16,Sweet!A6,DeurvoerSweet!M5:M16)</f>
        <v>3497</v>
      </c>
      <c r="H43" s="54">
        <f>IFERROR(IF((Bitter!AA40 - Bitter!H40)="",0,(Bitter!AA40 - Bitter!H40)),0) + SUMIF(DeurvoerBitter!I5:I16,Bitter!A5,DeurvoerBitter!N5:N16) - SUMIF(DeurvoerBitter!I5:I16,Bitter!A6,DeurvoerBitter!M5:M16)</f>
        <v>-543</v>
      </c>
      <c r="I43" s="54">
        <f>SUM(G43:H43)</f>
        <v>2954</v>
      </c>
      <c r="J43" s="54">
        <f>IFERROR(IF((Sweet!AA41 - Sweet!H41)="",0,(Sweet!AA41 - Sweet!H41)),0) - SUMIF(DeurvoerSweet!I5:I16,Sweet!A7,DeurvoerSweet!N5:N16) + SUMIF(DeurvoerSweet!I5:I16,Sweet!A7,DeurvoerSweet!M5:M16)</f>
        <v>-1329</v>
      </c>
      <c r="K43" s="54">
        <f>IFERROR(IF((Bitter!AA41 - Bitter!H41)="",0,(Bitter!AA41 - Bitter!H41)),0) + SUMIF(DeurvoerBitter!I5:I16,Bitter!A5,DeurvoerBitter!N5:N16) - SUMIF(DeurvoerBitter!I5:I16,Bitter!A7,DeurvoerBitter!M5:M16)</f>
        <v>1802</v>
      </c>
      <c r="L43" s="54">
        <f>SUM(J43:K43)</f>
        <v>473</v>
      </c>
      <c r="M43" s="54">
        <f>IFERROR(IF((Sweet!AA42 - Sweet!H42)="",0,(Sweet!AA42 - Sweet!H42)),0) - SUMIF(DeurvoerSweet!I5:I16,Sweet!A8,DeurvoerSweet!N5:N16) + SUMIF(DeurvoerSweet!I5:I16,Sweet!A8,DeurvoerSweet!M5:M16)</f>
        <v>550</v>
      </c>
      <c r="N43" s="54">
        <f>IFERROR(IF((Bitter!AA42 - Bitter!H42)="",0,(Bitter!AA42 - Bitter!H42)),0) + SUMIF(DeurvoerBitter!I5:I16,Bitter!A5,DeurvoerBitter!N5:N16) - SUMIF(DeurvoerBitter!I5:I16,Bitter!A8,DeurvoerBitter!M5:M16)</f>
        <v>74</v>
      </c>
      <c r="O43" s="54">
        <f>SUM(M43:N43)</f>
        <v>624</v>
      </c>
      <c r="P43" s="54">
        <f>IFERROR(IF((Sweet!AA43 - Sweet!H43)="",0,(Sweet!AA43 - Sweet!H43)),0) - SUMIF(DeurvoerSweet!I5:I16,Sweet!A9,DeurvoerSweet!N5:N16) + SUMIF(DeurvoerSweet!I5:I16,Sweet!A9,DeurvoerSweet!M5:M16)</f>
        <v>-142</v>
      </c>
      <c r="Q43" s="54">
        <f>IFERROR(IF((Bitter!AA43 - Bitter!H43)="",0,(Bitter!AA43 - Bitter!H43)),0) + SUMIF(DeurvoerBitter!I5:I16,Bitter!A5,DeurvoerBitter!N5:N16) - SUMIF(DeurvoerBitter!I5:I16,Bitter!A9,DeurvoerBitter!M5:M16)</f>
        <v>-29</v>
      </c>
      <c r="R43" s="54">
        <f>SUM(P43:Q43)</f>
        <v>-171</v>
      </c>
      <c r="S43" s="54">
        <f>IFERROR(IF((Sweet!AA44 - Sweet!H44)="",0,(Sweet!AA44 - Sweet!H44)),0) - SUMIF(DeurvoerSweet!I5:I16,Sweet!A10,DeurvoerSweet!N5:N16) + SUMIF(DeurvoerSweet!I5:I16,Sweet!A10,DeurvoerSweet!M5:M16)</f>
        <v>815</v>
      </c>
      <c r="T43" s="54">
        <f>IFERROR(IF((Bitter!AA44 - Bitter!H44)="",0,(Bitter!AA44 - Bitter!H44)),0) + SUMIF(DeurvoerBitter!I5:I16,Bitter!A5,DeurvoerBitter!N5:N16) - SUMIF(DeurvoerBitter!I5:I16,Bitter!A10,DeurvoerBitter!M5:M16)</f>
        <v>47</v>
      </c>
      <c r="U43" s="54">
        <f>SUM(S43:T43)</f>
        <v>862</v>
      </c>
      <c r="V43" s="54">
        <f>IFERROR(IF((Sweet!AA45 - Sweet!H45)="",0,(Sweet!AA45 - Sweet!H45)),0) - SUMIF(DeurvoerSweet!I5:I16,Sweet!A11,DeurvoerSweet!N5:N16) + SUMIF(DeurvoerSweet!I5:I16,Sweet!A11,DeurvoerSweet!M5:M16)</f>
        <v>-21</v>
      </c>
      <c r="W43" s="54">
        <f>IFERROR(IF((Bitter!AA45 - Bitter!H45)="",0,(Bitter!AA45 - Bitter!H45)),0) + SUMIF(DeurvoerBitter!I5:I16,Bitter!A5,DeurvoerBitter!N5:N16) - SUMIF(DeurvoerBitter!I5:I16,Bitter!A11,DeurvoerBitter!M5:M16)</f>
        <v>-104</v>
      </c>
      <c r="X43" s="54">
        <f>SUM(V43:W43)</f>
        <v>-125</v>
      </c>
      <c r="Y43" s="54">
        <f>IFERROR(IF((Sweet!AA46 - Sweet!H46)="",0,(Sweet!AA46 - Sweet!H46)),0) - SUMIF(DeurvoerSweet!I5:I16,Sweet!A12,DeurvoerSweet!N5:N16) + SUMIF(DeurvoerSweet!I5:I16,Sweet!A12,DeurvoerSweet!M5:M16)</f>
        <v>62</v>
      </c>
      <c r="Z43" s="54">
        <f>IFERROR(IF((Bitter!AA46 - Bitter!H46)="",0,(Bitter!AA46 - Bitter!H46)),0) + SUMIF(DeurvoerBitter!I5:I16,Bitter!A5,DeurvoerBitter!N5:N16) - SUMIF(DeurvoerBitter!I5:I16,Bitter!A12,DeurvoerBitter!M5:M16)</f>
        <v>-425</v>
      </c>
      <c r="AA43" s="54">
        <f>SUM(Y43:Z43)</f>
        <v>-363</v>
      </c>
      <c r="AB43" s="54">
        <f>IFERROR(IF((Sweet!AA47 - Sweet!H47)="",0,(Sweet!AA47 - Sweet!H47)),0) - SUMIF(DeurvoerSweet!I5:I16,Sweet!A13,DeurvoerSweet!N5:N16) + SUMIF(DeurvoerSweet!I5:I16,Sweet!A13,DeurvoerSweet!M5:M16)</f>
        <v>-39</v>
      </c>
      <c r="AC43" s="54">
        <f>IFERROR(IF((Bitter!AA47 - Bitter!H47)="",0,(Bitter!AA47 - Bitter!H47)),0) + SUMIF(DeurvoerBitter!I5:I16,Bitter!A5,DeurvoerBitter!N5:N16) - SUMIF(DeurvoerBitter!I5:I16,Bitter!A13,DeurvoerBitter!M5:M16)</f>
        <v>-146</v>
      </c>
      <c r="AD43" s="54">
        <f>SUM(AB43:AC43)</f>
        <v>-185</v>
      </c>
      <c r="AE43" s="54">
        <f>IFERROR(IF((Sweet!AA48 - Sweet!H48)="",0,(Sweet!AA48 - Sweet!H48)),0) - SUMIF(DeurvoerSweet!I5:I16,Sweet!A14,DeurvoerSweet!N5:N16) + SUMIF(DeurvoerSweet!I5:I16,Sweet!A14,DeurvoerSweet!M5:M16)</f>
        <v>-707</v>
      </c>
      <c r="AF43" s="54">
        <f>IFERROR(IF((Bitter!AA48 - Bitter!H48)="",0,(Bitter!AA48 - Bitter!H48)),0) + SUMIF(DeurvoerBitter!I5:I16,Bitter!A5,DeurvoerBitter!N5:N16) - SUMIF(DeurvoerBitter!I5:I16,Bitter!A14,DeurvoerBitter!M5:M16)</f>
        <v>-115</v>
      </c>
      <c r="AG43" s="54">
        <f>SUM(AE43:AF43)</f>
        <v>-822</v>
      </c>
      <c r="AH43" s="54">
        <f>IFERROR(IF((Sweet!AA49 - Sweet!H49)="",0,(Sweet!AA49 - Sweet!H49)),0) - SUMIF(DeurvoerSweet!I5:I16,Sweet!A15,DeurvoerSweet!N5:N16) + SUMIF(DeurvoerSweet!I5:I16,Sweet!A15,DeurvoerSweet!M5:M16)</f>
        <v>2099</v>
      </c>
      <c r="AI43" s="54">
        <f>IFERROR(IF((Bitter!AA49 - Bitter!H49)="",0,(Bitter!AA49 - Bitter!H49)),0) + SUMIF(DeurvoerBitter!I5:I16,Bitter!A5,DeurvoerBitter!N5:N16) - SUMIF(DeurvoerBitter!I5:I16,Bitter!A15,DeurvoerBitter!M5:M16)</f>
        <v>-117</v>
      </c>
      <c r="AJ43" s="54">
        <f>SUM(AH43:AI43)</f>
        <v>1982</v>
      </c>
      <c r="AK43" s="54">
        <f>IFERROR(IF((Sweet!AA50 - Sweet!H50)="",0,(Sweet!AA50 - Sweet!H50)),0) - SUMIF(DeurvoerSweet!I5:I16,Sweet!A16,DeurvoerSweet!N5:N16) + SUMIF(DeurvoerSweet!I5:I16,Sweet!A16,DeurvoerSweet!M5:M16)</f>
        <v>380</v>
      </c>
      <c r="AL43" s="54">
        <f>IFERROR(IF((Bitter!AA50 - Bitter!H50)="",0,(Bitter!AA50 - Bitter!H50)),0) + SUMIF(DeurvoerBitter!I5:I16,Bitter!A5,DeurvoerBitter!N5:N16) - SUMIF(DeurvoerBitter!I5:I16,Bitter!A16,DeurvoerBitter!M5:M16)</f>
        <v>-64</v>
      </c>
      <c r="AM43" s="54">
        <f>SUM(AK43:AL43)</f>
        <v>316</v>
      </c>
      <c r="AN43" s="54">
        <f>D43+G43+J43+M43+P43+S43+V43+Y43+AB43+AE43+AH43+AK43</f>
        <v>5412</v>
      </c>
      <c r="AO43" s="54">
        <f>E43+H43+K43+N43+Q43+T43+W43+Z43+AC43+AF43+AI43+AL43</f>
        <v>109</v>
      </c>
      <c r="AP43" s="54">
        <f>SUM(AN43:AO43)</f>
        <v>5521</v>
      </c>
      <c r="AQ43" s="31"/>
      <c r="AR43" s="37" t="s">
        <v>159</v>
      </c>
      <c r="AS43" s="41"/>
    </row>
    <row r="44" spans="1:45" ht="27.75" customHeight="1" x14ac:dyDescent="0.5">
      <c r="A44" s="2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32"/>
      <c r="AR44" s="29"/>
      <c r="AS44" s="41"/>
    </row>
    <row r="45" spans="1:45" ht="27.75" customHeight="1" x14ac:dyDescent="0.5">
      <c r="A45" s="22"/>
      <c r="D45" s="107" t="s">
        <v>440</v>
      </c>
      <c r="E45" s="108"/>
      <c r="F45" s="109"/>
      <c r="G45" s="110" t="s">
        <v>442</v>
      </c>
      <c r="H45" s="108"/>
      <c r="I45" s="109"/>
      <c r="J45" s="107" t="s">
        <v>441</v>
      </c>
      <c r="K45" s="108"/>
      <c r="L45" s="109"/>
      <c r="M45" s="110" t="s">
        <v>443</v>
      </c>
      <c r="N45" s="108"/>
      <c r="O45" s="109"/>
      <c r="P45" s="110" t="s">
        <v>444</v>
      </c>
      <c r="Q45" s="108"/>
      <c r="R45" s="109"/>
      <c r="S45" s="110" t="s">
        <v>445</v>
      </c>
      <c r="T45" s="108"/>
      <c r="U45" s="109"/>
      <c r="V45" s="110" t="s">
        <v>446</v>
      </c>
      <c r="W45" s="108"/>
      <c r="X45" s="109"/>
      <c r="Y45" s="111" t="s">
        <v>167</v>
      </c>
      <c r="Z45" s="108"/>
      <c r="AA45" s="109"/>
      <c r="AB45" s="110" t="s">
        <v>447</v>
      </c>
      <c r="AC45" s="108"/>
      <c r="AD45" s="109"/>
      <c r="AE45" s="107" t="s">
        <v>453</v>
      </c>
      <c r="AF45" s="108"/>
      <c r="AG45" s="109"/>
      <c r="AH45" s="110" t="s">
        <v>448</v>
      </c>
      <c r="AI45" s="108"/>
      <c r="AJ45" s="109"/>
      <c r="AK45" s="110" t="s">
        <v>449</v>
      </c>
      <c r="AL45" s="108"/>
      <c r="AM45" s="109"/>
      <c r="AN45" s="110" t="s">
        <v>449</v>
      </c>
      <c r="AO45" s="108"/>
      <c r="AP45" s="109"/>
      <c r="AQ45" s="32"/>
      <c r="AR45" s="29"/>
      <c r="AS45" s="41"/>
    </row>
    <row r="46" spans="1:45" ht="27.75" customHeight="1" x14ac:dyDescent="0.5">
      <c r="A46" s="23" t="s">
        <v>172</v>
      </c>
      <c r="B46" s="11"/>
      <c r="C46" s="11"/>
      <c r="D46" s="52">
        <f t="shared" ref="D46:AP46" si="24">D11+D13-D17-D33-D41</f>
        <v>47329</v>
      </c>
      <c r="E46" s="52">
        <f t="shared" si="24"/>
        <v>21678</v>
      </c>
      <c r="F46" s="52">
        <f t="shared" si="24"/>
        <v>69007</v>
      </c>
      <c r="G46" s="52">
        <f t="shared" si="24"/>
        <v>63462</v>
      </c>
      <c r="H46" s="52">
        <f t="shared" si="24"/>
        <v>18608</v>
      </c>
      <c r="I46" s="52">
        <f t="shared" si="24"/>
        <v>82070</v>
      </c>
      <c r="J46" s="52">
        <f t="shared" si="24"/>
        <v>58996</v>
      </c>
      <c r="K46" s="52">
        <f t="shared" si="24"/>
        <v>19339</v>
      </c>
      <c r="L46" s="52">
        <f t="shared" si="24"/>
        <v>78335</v>
      </c>
      <c r="M46" s="52">
        <f t="shared" si="24"/>
        <v>66958</v>
      </c>
      <c r="N46" s="52">
        <f t="shared" si="24"/>
        <v>19151</v>
      </c>
      <c r="O46" s="52">
        <f t="shared" si="24"/>
        <v>86109</v>
      </c>
      <c r="P46" s="52">
        <f t="shared" si="24"/>
        <v>65273</v>
      </c>
      <c r="Q46" s="52">
        <f t="shared" si="24"/>
        <v>18034</v>
      </c>
      <c r="R46" s="52">
        <f t="shared" si="24"/>
        <v>83307</v>
      </c>
      <c r="S46" s="52">
        <f t="shared" si="24"/>
        <v>56988</v>
      </c>
      <c r="T46" s="52">
        <f t="shared" si="24"/>
        <v>16361</v>
      </c>
      <c r="U46" s="52">
        <f t="shared" si="24"/>
        <v>73349</v>
      </c>
      <c r="V46" s="52">
        <f t="shared" si="24"/>
        <v>61758</v>
      </c>
      <c r="W46" s="52">
        <f t="shared" si="24"/>
        <v>14387</v>
      </c>
      <c r="X46" s="52">
        <f t="shared" si="24"/>
        <v>76145</v>
      </c>
      <c r="Y46" s="52">
        <f t="shared" si="24"/>
        <v>75083</v>
      </c>
      <c r="Z46" s="52">
        <f t="shared" si="24"/>
        <v>12422</v>
      </c>
      <c r="AA46" s="52">
        <f t="shared" si="24"/>
        <v>87505</v>
      </c>
      <c r="AB46" s="52">
        <f t="shared" si="24"/>
        <v>61955</v>
      </c>
      <c r="AC46" s="52">
        <f t="shared" si="24"/>
        <v>10515</v>
      </c>
      <c r="AD46" s="52">
        <f t="shared" si="24"/>
        <v>72470</v>
      </c>
      <c r="AE46" s="52">
        <f t="shared" si="24"/>
        <v>54262</v>
      </c>
      <c r="AF46" s="52">
        <f t="shared" si="24"/>
        <v>7622</v>
      </c>
      <c r="AG46" s="52">
        <f t="shared" si="24"/>
        <v>61884</v>
      </c>
      <c r="AH46" s="52">
        <f t="shared" si="24"/>
        <v>43736</v>
      </c>
      <c r="AI46" s="52">
        <f t="shared" si="24"/>
        <v>4107</v>
      </c>
      <c r="AJ46" s="52">
        <f t="shared" si="24"/>
        <v>47843</v>
      </c>
      <c r="AK46" s="52">
        <f t="shared" si="24"/>
        <v>31836</v>
      </c>
      <c r="AL46" s="52">
        <f t="shared" si="24"/>
        <v>3402</v>
      </c>
      <c r="AM46" s="52">
        <f t="shared" si="24"/>
        <v>35238</v>
      </c>
      <c r="AN46" s="52">
        <f t="shared" si="24"/>
        <v>31836</v>
      </c>
      <c r="AO46" s="52">
        <f t="shared" si="24"/>
        <v>3402</v>
      </c>
      <c r="AP46" s="52">
        <f t="shared" si="24"/>
        <v>35238</v>
      </c>
      <c r="AQ46" s="31"/>
      <c r="AR46" s="40"/>
      <c r="AS46" s="43" t="s">
        <v>173</v>
      </c>
    </row>
    <row r="47" spans="1:45" ht="27.75" customHeight="1" x14ac:dyDescent="0.5">
      <c r="A47" s="2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9"/>
      <c r="AR47" s="29"/>
      <c r="AS47" s="41"/>
    </row>
    <row r="48" spans="1:45" ht="27.75" customHeight="1" x14ac:dyDescent="0.5">
      <c r="A48" s="22" t="s">
        <v>174</v>
      </c>
      <c r="D48" s="52">
        <f t="shared" ref="D48:AP48" si="25">SUM(D49:D50)</f>
        <v>47329</v>
      </c>
      <c r="E48" s="52">
        <f t="shared" si="25"/>
        <v>21678</v>
      </c>
      <c r="F48" s="52">
        <f t="shared" si="25"/>
        <v>69007</v>
      </c>
      <c r="G48" s="52">
        <f t="shared" si="25"/>
        <v>63462</v>
      </c>
      <c r="H48" s="52">
        <f t="shared" si="25"/>
        <v>18608</v>
      </c>
      <c r="I48" s="52">
        <f t="shared" si="25"/>
        <v>82070</v>
      </c>
      <c r="J48" s="52">
        <f t="shared" si="25"/>
        <v>58996</v>
      </c>
      <c r="K48" s="52">
        <f t="shared" si="25"/>
        <v>19339</v>
      </c>
      <c r="L48" s="52">
        <f t="shared" si="25"/>
        <v>78335</v>
      </c>
      <c r="M48" s="52">
        <f t="shared" si="25"/>
        <v>66958</v>
      </c>
      <c r="N48" s="52">
        <f t="shared" si="25"/>
        <v>19151</v>
      </c>
      <c r="O48" s="52">
        <f t="shared" si="25"/>
        <v>86109</v>
      </c>
      <c r="P48" s="52">
        <f t="shared" si="25"/>
        <v>65273</v>
      </c>
      <c r="Q48" s="52">
        <f t="shared" si="25"/>
        <v>18034</v>
      </c>
      <c r="R48" s="52">
        <f t="shared" si="25"/>
        <v>83307</v>
      </c>
      <c r="S48" s="52">
        <f t="shared" si="25"/>
        <v>56988</v>
      </c>
      <c r="T48" s="52">
        <f t="shared" si="25"/>
        <v>16361</v>
      </c>
      <c r="U48" s="52">
        <f t="shared" si="25"/>
        <v>73349</v>
      </c>
      <c r="V48" s="52">
        <f t="shared" si="25"/>
        <v>61758</v>
      </c>
      <c r="W48" s="52">
        <f t="shared" si="25"/>
        <v>14387</v>
      </c>
      <c r="X48" s="52">
        <f t="shared" si="25"/>
        <v>76145</v>
      </c>
      <c r="Y48" s="52">
        <f t="shared" si="25"/>
        <v>75083</v>
      </c>
      <c r="Z48" s="52">
        <f t="shared" si="25"/>
        <v>12422</v>
      </c>
      <c r="AA48" s="52">
        <f t="shared" si="25"/>
        <v>87505</v>
      </c>
      <c r="AB48" s="52">
        <f t="shared" si="25"/>
        <v>61955</v>
      </c>
      <c r="AC48" s="52">
        <f t="shared" si="25"/>
        <v>10515</v>
      </c>
      <c r="AD48" s="52">
        <f t="shared" si="25"/>
        <v>72470</v>
      </c>
      <c r="AE48" s="52">
        <f t="shared" si="25"/>
        <v>54262</v>
      </c>
      <c r="AF48" s="52">
        <f t="shared" si="25"/>
        <v>7622</v>
      </c>
      <c r="AG48" s="52">
        <f t="shared" si="25"/>
        <v>61884</v>
      </c>
      <c r="AH48" s="52">
        <f t="shared" si="25"/>
        <v>43736</v>
      </c>
      <c r="AI48" s="52">
        <f t="shared" si="25"/>
        <v>4107</v>
      </c>
      <c r="AJ48" s="52">
        <f t="shared" si="25"/>
        <v>47843</v>
      </c>
      <c r="AK48" s="52">
        <f t="shared" si="25"/>
        <v>31836</v>
      </c>
      <c r="AL48" s="52">
        <f t="shared" si="25"/>
        <v>3402</v>
      </c>
      <c r="AM48" s="52">
        <f t="shared" si="25"/>
        <v>35238</v>
      </c>
      <c r="AN48" s="52">
        <f t="shared" si="25"/>
        <v>31836</v>
      </c>
      <c r="AO48" s="52">
        <f t="shared" si="25"/>
        <v>3402</v>
      </c>
      <c r="AP48" s="52">
        <f t="shared" si="25"/>
        <v>35238</v>
      </c>
      <c r="AQ48" s="29"/>
      <c r="AR48" s="29"/>
      <c r="AS48" s="41" t="s">
        <v>175</v>
      </c>
    </row>
    <row r="49" spans="1:45" ht="27.75" customHeight="1" x14ac:dyDescent="0.5">
      <c r="A49" s="22"/>
      <c r="B49" s="7" t="s">
        <v>176</v>
      </c>
      <c r="C49" s="12"/>
      <c r="D49" s="53">
        <f>IFERROR(IF((Sweet!AB39)="",0,(Sweet!AB39)),0) - SUMIF(DeurvoerSweet!I5:I16,Sweet!A5,DeurvoerSweet!O5:O16)</f>
        <v>17659</v>
      </c>
      <c r="E49" s="53">
        <f>IFERROR(IF((Bitter!AB39)="",0,(Bitter!AB39)),0) - SUMIF(DeurvoerBitter!I5:I16,Bitter!A5,DeurvoerBitter!O5:O16)</f>
        <v>15410</v>
      </c>
      <c r="F49" s="53">
        <f>SUM(D49:E49)</f>
        <v>33069</v>
      </c>
      <c r="G49" s="53">
        <f>IFERROR(IF((Sweet!AB40)="",0,(Sweet!AB40)),0) - SUMIF(DeurvoerSweet!I5:I16,Sweet!A6,DeurvoerSweet!O5:O16)</f>
        <v>35877</v>
      </c>
      <c r="H49" s="53">
        <f>IFERROR(IF((Bitter!AB40)="",0,(Bitter!AB40)),0) - SUMIF(DeurvoerBitter!I5:I16,Bitter!A6,DeurvoerBitter!O5:O16)</f>
        <v>14784</v>
      </c>
      <c r="I49" s="53">
        <f>SUM(G49:H49)</f>
        <v>50661</v>
      </c>
      <c r="J49" s="53">
        <f>IFERROR(IF((Sweet!AB41)="",0,(Sweet!AB41)),0) - SUMIF(DeurvoerSweet!I5:I16,Sweet!A7,DeurvoerSweet!O5:O16)</f>
        <v>23593</v>
      </c>
      <c r="K49" s="53">
        <f>IFERROR(IF((Bitter!AB41)="",0,(Bitter!AB41)),0) - SUMIF(DeurvoerBitter!I5:I16,Bitter!A7,DeurvoerBitter!O5:O16)</f>
        <v>16042</v>
      </c>
      <c r="L49" s="53">
        <f>SUM(J49:K49)</f>
        <v>39635</v>
      </c>
      <c r="M49" s="53">
        <f>IFERROR(IF((Sweet!AB42)="",0,(Sweet!AB42)),0) - SUMIF(DeurvoerSweet!I5:I16,Sweet!A8,DeurvoerSweet!O5:O16)</f>
        <v>34910</v>
      </c>
      <c r="N49" s="53">
        <f>IFERROR(IF((Bitter!AB42)="",0,(Bitter!AB42)),0) - SUMIF(DeurvoerBitter!I5:I16,Bitter!A8,DeurvoerBitter!O5:O16)</f>
        <v>13837</v>
      </c>
      <c r="O49" s="53">
        <f>SUM(M49:N49)</f>
        <v>48747</v>
      </c>
      <c r="P49" s="53">
        <f>IFERROR(IF((Sweet!AB43)="",0,(Sweet!AB43)),0) - SUMIF(DeurvoerSweet!I5:I16,Sweet!A9,DeurvoerSweet!O5:O16)</f>
        <v>34379</v>
      </c>
      <c r="Q49" s="53">
        <f>IFERROR(IF((Bitter!AB43)="",0,(Bitter!AB43)),0) - SUMIF(DeurvoerBitter!I5:I16,Bitter!A9,DeurvoerBitter!O5:O16)</f>
        <v>13566</v>
      </c>
      <c r="R49" s="53">
        <f>SUM(P49:Q49)</f>
        <v>47945</v>
      </c>
      <c r="S49" s="53">
        <f>IFERROR(IF((Sweet!AB44)="",0,(Sweet!AB44)),0) - SUMIF(DeurvoerSweet!I5:I16,Sweet!A10,DeurvoerSweet!O5:O16)</f>
        <v>32282</v>
      </c>
      <c r="T49" s="53">
        <f>IFERROR(IF((Bitter!AB44)="",0,(Bitter!AB44)),0) - SUMIF(DeurvoerBitter!I5:I16,Bitter!A10,DeurvoerBitter!O5:O16)</f>
        <v>13377</v>
      </c>
      <c r="U49" s="53">
        <f>SUM(S49:T49)</f>
        <v>45659</v>
      </c>
      <c r="V49" s="53">
        <f>IFERROR(IF((Sweet!AB45)="",0,(Sweet!AB45)),0) - SUMIF(DeurvoerSweet!I5:I16,Sweet!A11,DeurvoerSweet!O5:O16)</f>
        <v>36137</v>
      </c>
      <c r="W49" s="53">
        <f>IFERROR(IF((Bitter!AB45)="",0,(Bitter!AB45)),0) - SUMIF(DeurvoerBitter!I5:I16,Bitter!A11,DeurvoerBitter!O5:O16)</f>
        <v>12096</v>
      </c>
      <c r="X49" s="53">
        <f>SUM(V49:W49)</f>
        <v>48233</v>
      </c>
      <c r="Y49" s="53">
        <f>IFERROR(IF((Sweet!AB46)="",0,(Sweet!AB46)),0) - SUMIF(DeurvoerSweet!I5:I16,Sweet!A12,DeurvoerSweet!O5:O16)</f>
        <v>31231</v>
      </c>
      <c r="Z49" s="53">
        <f>IFERROR(IF((Bitter!AB46)="",0,(Bitter!AB46)),0) - SUMIF(DeurvoerBitter!I5:I16,Bitter!A12,DeurvoerBitter!O5:O16)</f>
        <v>10498</v>
      </c>
      <c r="AA49" s="53">
        <f>SUM(Y49:Z49)</f>
        <v>41729</v>
      </c>
      <c r="AB49" s="53">
        <f>IFERROR(IF((Sweet!AB47)="",0,(Sweet!AB47)),0) - SUMIF(DeurvoerSweet!I5:I16,Sweet!A13,DeurvoerSweet!O5:O16)</f>
        <v>26255</v>
      </c>
      <c r="AC49" s="53">
        <f>IFERROR(IF((Bitter!AB47)="",0,(Bitter!AB47)),0) - SUMIF(DeurvoerBitter!I5:I16,Bitter!A13,DeurvoerBitter!O5:O16)</f>
        <v>3468</v>
      </c>
      <c r="AD49" s="53">
        <f>SUM(AB49:AC49)</f>
        <v>29723</v>
      </c>
      <c r="AE49" s="53">
        <f>IFERROR(IF((Sweet!AB48)="",0,(Sweet!AB48)),0) - SUMIF(DeurvoerSweet!I5:I16,Sweet!A14,DeurvoerSweet!O5:O16)</f>
        <v>23016</v>
      </c>
      <c r="AF49" s="53">
        <f>IFERROR(IF((Bitter!AB48)="",0,(Bitter!AB48)),0) - SUMIF(DeurvoerBitter!I5:I16,Bitter!A14,DeurvoerBitter!O5:O16)</f>
        <v>3272</v>
      </c>
      <c r="AG49" s="53">
        <f>SUM(AE49:AF49)</f>
        <v>26288</v>
      </c>
      <c r="AH49" s="53">
        <f>IFERROR(IF((Sweet!AB49)="",0,(Sweet!AB49)),0) - SUMIF(DeurvoerSweet!I5:I16,Sweet!A15,DeurvoerSweet!O5:O16)</f>
        <v>17267</v>
      </c>
      <c r="AI49" s="53">
        <f>IFERROR(IF((Bitter!AB49)="",0,(Bitter!AB49)),0) - SUMIF(DeurvoerBitter!I5:I16,Bitter!A15,DeurvoerBitter!O5:O16)</f>
        <v>2772</v>
      </c>
      <c r="AJ49" s="53">
        <f>SUM(AH49:AI49)</f>
        <v>20039</v>
      </c>
      <c r="AK49" s="53">
        <f>IFERROR(IF((Sweet!AB50)="",0,(Sweet!AB50)),0) - SUMIF(DeurvoerSweet!I5:I16,Sweet!A16,DeurvoerSweet!O5:O16)</f>
        <v>12485</v>
      </c>
      <c r="AL49" s="53">
        <f>IFERROR(IF((Bitter!AB50)="",0,(Bitter!AB50)),0) - SUMIF(DeurvoerBitter!I5:I16,Bitter!A16,DeurvoerBitter!O5:O16)</f>
        <v>2326</v>
      </c>
      <c r="AM49" s="53">
        <f>SUM(AK49:AL49)</f>
        <v>14811</v>
      </c>
      <c r="AN49" s="53">
        <f>INDEX(Sweet!AB39:'Sweet'!AB50,MATCH(9.99999999999999E+307,Sweet!AB39:'Sweet'!AB50))-INDEX(DeurvoerSweet!O5:'DeurvoerSweet'!O16,MATCH(9.99999999999999E+307,DeurvoerSweet!O5:'DeurvoerSweet'!O16))</f>
        <v>12485</v>
      </c>
      <c r="AO49" s="53">
        <f>INDEX(Bitter!AB39:'Bitter'!AB50,MATCH(9.99999999999999E+307,Bitter!AB39:'Bitter'!AB50))-INDEX(DeurvoerBitter!O5:'DeurvoerBitter'!O16,MATCH(9.99999999999999E+307,DeurvoerBitter!O5:'DeurvoerBitter'!O16))</f>
        <v>2326</v>
      </c>
      <c r="AP49" s="53">
        <f>SUM(AN49:AO49)</f>
        <v>14811</v>
      </c>
      <c r="AQ49" s="30"/>
      <c r="AR49" s="36" t="s">
        <v>177</v>
      </c>
      <c r="AS49" s="41"/>
    </row>
    <row r="50" spans="1:45" ht="27.75" customHeight="1" x14ac:dyDescent="0.5">
      <c r="A50" s="23"/>
      <c r="B50" s="9" t="s">
        <v>178</v>
      </c>
      <c r="C50" s="14"/>
      <c r="D50" s="54">
        <f>IFERROR(IF((Sweet!AC39)="",0,(Sweet!AC39)),0)</f>
        <v>29670</v>
      </c>
      <c r="E50" s="54">
        <f>IFERROR(IF((Bitter!AC39)="",0,(Bitter!AC39)),0)</f>
        <v>6268</v>
      </c>
      <c r="F50" s="54">
        <f>SUM(D50:E50)</f>
        <v>35938</v>
      </c>
      <c r="G50" s="54">
        <f>IFERROR(IF((Sweet!AC40)="",0,(Sweet!AC40)),0)</f>
        <v>27585</v>
      </c>
      <c r="H50" s="54">
        <f>IFERROR(IF((Bitter!AC40)="",0,(Bitter!AC40)),0)</f>
        <v>3824</v>
      </c>
      <c r="I50" s="54">
        <f>SUM(G50:H50)</f>
        <v>31409</v>
      </c>
      <c r="J50" s="54">
        <f>IFERROR(IF((Sweet!AC41)="",0,(Sweet!AC41)),0)</f>
        <v>35403</v>
      </c>
      <c r="K50" s="54">
        <f>IFERROR(IF((Bitter!AC41)="",0,(Bitter!AC41)),0)</f>
        <v>3297</v>
      </c>
      <c r="L50" s="54">
        <f>SUM(J50:K50)</f>
        <v>38700</v>
      </c>
      <c r="M50" s="54">
        <f>IFERROR(IF((Sweet!AC42)="",0,(Sweet!AC42)),0)</f>
        <v>32048</v>
      </c>
      <c r="N50" s="54">
        <f>IFERROR(IF((Bitter!AC42)="",0,(Bitter!AC42)),0)</f>
        <v>5314</v>
      </c>
      <c r="O50" s="54">
        <f>SUM(M50:N50)</f>
        <v>37362</v>
      </c>
      <c r="P50" s="54">
        <f>IFERROR(IF((Sweet!AC43)="",0,(Sweet!AC43)),0)</f>
        <v>30894</v>
      </c>
      <c r="Q50" s="54">
        <f>IFERROR(IF((Bitter!AC43)="",0,(Bitter!AC43)),0)</f>
        <v>4468</v>
      </c>
      <c r="R50" s="54">
        <f>SUM(P50:Q50)</f>
        <v>35362</v>
      </c>
      <c r="S50" s="54">
        <f>IFERROR(IF((Sweet!AC44)="",0,(Sweet!AC44)),0)</f>
        <v>24706</v>
      </c>
      <c r="T50" s="54">
        <f>IFERROR(IF((Bitter!AC44)="",0,(Bitter!AC44)),0)</f>
        <v>2984</v>
      </c>
      <c r="U50" s="54">
        <f>SUM(S50:T50)</f>
        <v>27690</v>
      </c>
      <c r="V50" s="54">
        <f>IFERROR(IF((Sweet!AC45)="",0,(Sweet!AC45)),0)</f>
        <v>25621</v>
      </c>
      <c r="W50" s="54">
        <f>IFERROR(IF((Bitter!AC45)="",0,(Bitter!AC45)),0)</f>
        <v>2291</v>
      </c>
      <c r="X50" s="54">
        <f>SUM(V50:W50)</f>
        <v>27912</v>
      </c>
      <c r="Y50" s="54">
        <f>IFERROR(IF((Sweet!AC46)="",0,(Sweet!AC46)),0)</f>
        <v>43852</v>
      </c>
      <c r="Z50" s="54">
        <f>IFERROR(IF((Bitter!AC46)="",0,(Bitter!AC46)),0)</f>
        <v>1924</v>
      </c>
      <c r="AA50" s="54">
        <f>SUM(Y50:Z50)</f>
        <v>45776</v>
      </c>
      <c r="AB50" s="54">
        <f>IFERROR(IF((Sweet!AC47)="",0,(Sweet!AC47)),0)</f>
        <v>35700</v>
      </c>
      <c r="AC50" s="54">
        <f>IFERROR(IF((Bitter!AC47)="",0,(Bitter!AC47)),0)</f>
        <v>7047</v>
      </c>
      <c r="AD50" s="54">
        <f>SUM(AB50:AC50)</f>
        <v>42747</v>
      </c>
      <c r="AE50" s="54">
        <f>IFERROR(IF((Sweet!AC48)="",0,(Sweet!AC48)),0)</f>
        <v>31246</v>
      </c>
      <c r="AF50" s="54">
        <f>IFERROR(IF((Bitter!AC48)="",0,(Bitter!AC48)),0)</f>
        <v>4350</v>
      </c>
      <c r="AG50" s="54">
        <f>SUM(AE50:AF50)</f>
        <v>35596</v>
      </c>
      <c r="AH50" s="54">
        <f>IFERROR(IF((Sweet!AC49)="",0,(Sweet!AC49)),0)</f>
        <v>26469</v>
      </c>
      <c r="AI50" s="54">
        <f>IFERROR(IF((Bitter!AC49)="",0,(Bitter!AC49)),0)</f>
        <v>1335</v>
      </c>
      <c r="AJ50" s="54">
        <f>SUM(AH50:AI50)</f>
        <v>27804</v>
      </c>
      <c r="AK50" s="54">
        <f>IFERROR(IF((Sweet!AC50)="",0,(Sweet!AC50)),0)</f>
        <v>19351</v>
      </c>
      <c r="AL50" s="54">
        <f>IFERROR(IF((Bitter!AC50)="",0,(Bitter!AC50)),0)</f>
        <v>1076</v>
      </c>
      <c r="AM50" s="54">
        <f>SUM(AK50:AL50)</f>
        <v>20427</v>
      </c>
      <c r="AN50" s="54">
        <f>INDEX(Sweet!AC39:'Sweet'!AC50,MATCH(9.99999999999999E+307,Sweet!AC39:'Sweet'!AC50))</f>
        <v>19351</v>
      </c>
      <c r="AO50" s="54">
        <f>INDEX(Bitter!AC39:'Bitter'!AC50,MATCH(9.99999999999999E+307,Bitter!AC39:'Bitter'!AC50))</f>
        <v>1076</v>
      </c>
      <c r="AP50" s="54">
        <f>SUM(AN50:AO50)</f>
        <v>20427</v>
      </c>
      <c r="AQ50" s="31"/>
      <c r="AR50" s="37" t="s">
        <v>179</v>
      </c>
      <c r="AS50" s="43"/>
    </row>
    <row r="51" spans="1:45" ht="27.75" customHeight="1" x14ac:dyDescent="0.5">
      <c r="A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9"/>
      <c r="AR51" s="29"/>
      <c r="AS51" s="44"/>
    </row>
    <row r="52" spans="1:45" ht="54.9" customHeight="1" x14ac:dyDescent="0.5">
      <c r="A52" s="129" t="s">
        <v>180</v>
      </c>
      <c r="B52" s="130"/>
      <c r="C52" s="131"/>
      <c r="D52" s="56"/>
      <c r="E52" s="53"/>
      <c r="F52" s="60"/>
      <c r="G52" s="56"/>
      <c r="H52" s="53"/>
      <c r="I52" s="60"/>
      <c r="J52" s="56"/>
      <c r="K52" s="53"/>
      <c r="L52" s="60"/>
      <c r="M52" s="56"/>
      <c r="N52" s="53"/>
      <c r="O52" s="60"/>
      <c r="P52" s="56"/>
      <c r="Q52" s="53"/>
      <c r="R52" s="60"/>
      <c r="S52" s="56"/>
      <c r="T52" s="53"/>
      <c r="U52" s="60"/>
      <c r="V52" s="56"/>
      <c r="W52" s="53"/>
      <c r="X52" s="60"/>
      <c r="Y52" s="56"/>
      <c r="Z52" s="53"/>
      <c r="AA52" s="60"/>
      <c r="AB52" s="56"/>
      <c r="AC52" s="53"/>
      <c r="AD52" s="60"/>
      <c r="AE52" s="56"/>
      <c r="AF52" s="53"/>
      <c r="AG52" s="60"/>
      <c r="AH52" s="56"/>
      <c r="AI52" s="53"/>
      <c r="AJ52" s="60"/>
      <c r="AK52" s="56"/>
      <c r="AL52" s="53"/>
      <c r="AM52" s="60"/>
      <c r="AN52" s="56"/>
      <c r="AO52" s="53"/>
      <c r="AP52" s="60"/>
      <c r="AQ52" s="132" t="s">
        <v>181</v>
      </c>
      <c r="AR52" s="133"/>
      <c r="AS52" s="134"/>
    </row>
    <row r="53" spans="1:45" ht="27.75" customHeight="1" x14ac:dyDescent="0.5">
      <c r="A53" s="8"/>
      <c r="B53" t="s">
        <v>182</v>
      </c>
      <c r="C53" s="13"/>
      <c r="D53" s="57">
        <f>IFERROR(IF((DeurvoerSweet!J5)="",0,(DeurvoerSweet!J5)),0)</f>
        <v>15750</v>
      </c>
      <c r="E53" s="55">
        <f>IFERROR(IF((DeurvoerBitter!J5)="",0,(DeurvoerBitter!J5)),0)</f>
        <v>0</v>
      </c>
      <c r="F53" s="61">
        <f>D53+E53</f>
        <v>15750</v>
      </c>
      <c r="G53" s="57">
        <f>IF(G11=0,0,D57)</f>
        <v>5181</v>
      </c>
      <c r="H53" s="55">
        <f>IF(G11=0,0,E57)</f>
        <v>0</v>
      </c>
      <c r="I53" s="61">
        <f>G53+H53</f>
        <v>5181</v>
      </c>
      <c r="J53" s="57">
        <f>IF(J11=0,0,G57)</f>
        <v>17697</v>
      </c>
      <c r="K53" s="55">
        <f>IF(J11=0,0,H57)</f>
        <v>0</v>
      </c>
      <c r="L53" s="61">
        <f>J53+K53</f>
        <v>17697</v>
      </c>
      <c r="M53" s="57">
        <f>IF(M11=0,0,J57)</f>
        <v>10037</v>
      </c>
      <c r="N53" s="55">
        <f>IF(M11=0,0,K57)</f>
        <v>0</v>
      </c>
      <c r="O53" s="61">
        <f>M53+N53</f>
        <v>10037</v>
      </c>
      <c r="P53" s="57">
        <f>IF(P11=0,0,M57)</f>
        <v>8088</v>
      </c>
      <c r="Q53" s="55">
        <f>IF(P11=0,0,N57)</f>
        <v>0</v>
      </c>
      <c r="R53" s="61">
        <f>P53+Q53</f>
        <v>8088</v>
      </c>
      <c r="S53" s="57">
        <f>IF(S11=0,0,P57)</f>
        <v>12650</v>
      </c>
      <c r="T53" s="55">
        <f>IF(S11=0,0,Q57)</f>
        <v>0</v>
      </c>
      <c r="U53" s="61">
        <f>S53+T53</f>
        <v>12650</v>
      </c>
      <c r="V53" s="57">
        <f>IF(V11=0,0,S57)</f>
        <v>5577</v>
      </c>
      <c r="W53" s="55">
        <f>IF(V11=0,0,T57)</f>
        <v>0</v>
      </c>
      <c r="X53" s="61">
        <f>V53+W53</f>
        <v>5577</v>
      </c>
      <c r="Y53" s="57">
        <f>IF(Y11=0,0,V57)</f>
        <v>22513</v>
      </c>
      <c r="Z53" s="55">
        <f>IF(Y11=0,0,W57)</f>
        <v>0</v>
      </c>
      <c r="AA53" s="61">
        <f>Y53+Z53</f>
        <v>22513</v>
      </c>
      <c r="AB53" s="57">
        <f>IF(AB11=0,0,Y57)</f>
        <v>16707</v>
      </c>
      <c r="AC53" s="55">
        <f>IF(AB11=0,0,Z57)</f>
        <v>0</v>
      </c>
      <c r="AD53" s="61">
        <f>AB53+AC53</f>
        <v>16707</v>
      </c>
      <c r="AE53" s="57">
        <f>IF(AE11=0,0,AB57)</f>
        <v>21538</v>
      </c>
      <c r="AF53" s="55">
        <f>IF(AE11=0,0,AC57)</f>
        <v>0</v>
      </c>
      <c r="AG53" s="61">
        <f>AE53+AF53</f>
        <v>21538</v>
      </c>
      <c r="AH53" s="57">
        <f>IF(AH11=0,0,AE57)</f>
        <v>5682</v>
      </c>
      <c r="AI53" s="55">
        <f>IF(AH11=0,0,AF57)</f>
        <v>0</v>
      </c>
      <c r="AJ53" s="61">
        <f>AH53+AI53</f>
        <v>5682</v>
      </c>
      <c r="AK53" s="57">
        <f>IF(AK11=0,0,AH57)</f>
        <v>2907</v>
      </c>
      <c r="AL53" s="55">
        <f>IF(AK11=0,0,AI57)</f>
        <v>0</v>
      </c>
      <c r="AM53" s="61">
        <f>AK53+AL53</f>
        <v>2907</v>
      </c>
      <c r="AN53" s="57">
        <f>D53</f>
        <v>15750</v>
      </c>
      <c r="AO53" s="55">
        <f>E53</f>
        <v>0</v>
      </c>
      <c r="AP53" s="61">
        <f>AN53+AO53</f>
        <v>15750</v>
      </c>
      <c r="AQ53" s="32"/>
      <c r="AR53" s="29" t="s">
        <v>183</v>
      </c>
      <c r="AS53" s="38"/>
    </row>
    <row r="54" spans="1:45" ht="27.75" customHeight="1" x14ac:dyDescent="0.5">
      <c r="A54" s="8"/>
      <c r="B54" t="s">
        <v>184</v>
      </c>
      <c r="C54" s="13"/>
      <c r="D54" s="57">
        <f>IFERROR(IF((DeurvoerSweet!K5)="",0,(DeurvoerSweet!K5)),0)</f>
        <v>0</v>
      </c>
      <c r="E54" s="55">
        <f>IFERROR(IF((DeurvoerBitter!K5)="",0,(DeurvoerBitter!K5)),0)</f>
        <v>0</v>
      </c>
      <c r="F54" s="61">
        <f>D54+E54</f>
        <v>0</v>
      </c>
      <c r="G54" s="57">
        <f>IFERROR(IF((DeurvoerSweet!K6)="",0,(DeurvoerSweet!K6)),0)</f>
        <v>22218</v>
      </c>
      <c r="H54" s="55">
        <f>IFERROR(IF((DeurvoerBitter!K6)="",0,(DeurvoerBitter!K6)),0)</f>
        <v>0</v>
      </c>
      <c r="I54" s="61">
        <f>G54+H54</f>
        <v>22218</v>
      </c>
      <c r="J54" s="57">
        <f>IFERROR(IF((DeurvoerSweet!K7)="",0,(DeurvoerSweet!K7)),0)</f>
        <v>0</v>
      </c>
      <c r="K54" s="55">
        <f>IFERROR(IF((DeurvoerBitter!K7)="",0,(DeurvoerBitter!K7)),0)</f>
        <v>0</v>
      </c>
      <c r="L54" s="61">
        <f>J54+K54</f>
        <v>0</v>
      </c>
      <c r="M54" s="57">
        <f>IFERROR(IF((DeurvoerSweet!K8)="",0,(DeurvoerSweet!K8)),0)</f>
        <v>1960</v>
      </c>
      <c r="N54" s="55">
        <f>IFERROR(IF((DeurvoerBitter!K8)="",0,(DeurvoerBitter!K8)),0)</f>
        <v>0</v>
      </c>
      <c r="O54" s="61">
        <f>M54+N54</f>
        <v>1960</v>
      </c>
      <c r="P54" s="57">
        <f>IFERROR(IF((DeurvoerSweet!K9)="",0,(DeurvoerSweet!K9)),0)</f>
        <v>6453</v>
      </c>
      <c r="Q54" s="55">
        <f>IFERROR(IF((DeurvoerBitter!K9)="",0,(DeurvoerBitter!K9)),0)</f>
        <v>0</v>
      </c>
      <c r="R54" s="61">
        <f>P54+Q54</f>
        <v>6453</v>
      </c>
      <c r="S54" s="57">
        <f>IFERROR(IF((DeurvoerSweet!K10)="",0,(DeurvoerSweet!K10)),0)</f>
        <v>0</v>
      </c>
      <c r="T54" s="55">
        <f>IFERROR(IF((DeurvoerBitter!K10)="",0,(DeurvoerBitter!K10)),0)</f>
        <v>0</v>
      </c>
      <c r="U54" s="61">
        <f>S54+T54</f>
        <v>0</v>
      </c>
      <c r="V54" s="57">
        <f>IFERROR(IF((DeurvoerSweet!K11)="",0,(DeurvoerSweet!K11)),0)</f>
        <v>19998</v>
      </c>
      <c r="W54" s="55">
        <f>IFERROR(IF((DeurvoerBitter!K11)="",0,(DeurvoerBitter!K11)),0)</f>
        <v>0</v>
      </c>
      <c r="X54" s="61">
        <f>V54+W54</f>
        <v>19998</v>
      </c>
      <c r="Y54" s="57">
        <f>IFERROR(IF((DeurvoerSweet!K12)="",0,(DeurvoerSweet!K12)),0)</f>
        <v>1970</v>
      </c>
      <c r="Z54" s="55">
        <f>IFERROR(IF((DeurvoerBitter!K12)="",0,(DeurvoerBitter!K12)),0)</f>
        <v>0</v>
      </c>
      <c r="AA54" s="61">
        <f>Y54+Z54</f>
        <v>1970</v>
      </c>
      <c r="AB54" s="57">
        <f>IFERROR(IF((DeurvoerSweet!K13)="",0,(DeurvoerSweet!K13)),0)</f>
        <v>15353</v>
      </c>
      <c r="AC54" s="55">
        <f>IFERROR(IF((DeurvoerBitter!K13)="",0,(DeurvoerBitter!K13)),0)</f>
        <v>0</v>
      </c>
      <c r="AD54" s="61">
        <f>AB54+AC54</f>
        <v>15353</v>
      </c>
      <c r="AE54" s="57">
        <f>IFERROR(IF((DeurvoerSweet!K14)="",0,(DeurvoerSweet!K14)),0)</f>
        <v>0</v>
      </c>
      <c r="AF54" s="55">
        <f>IFERROR(IF((DeurvoerBitter!K14)="",0,(DeurvoerBitter!K14)),0)</f>
        <v>0</v>
      </c>
      <c r="AG54" s="61">
        <f>AE54+AF54</f>
        <v>0</v>
      </c>
      <c r="AH54" s="57">
        <f>IFERROR(IF((DeurvoerSweet!K15)="",0,(DeurvoerSweet!K15)),0)</f>
        <v>0</v>
      </c>
      <c r="AI54" s="55">
        <f>IFERROR(IF((DeurvoerBitter!K15)="",0,(DeurvoerBitter!K15)),0)</f>
        <v>0</v>
      </c>
      <c r="AJ54" s="61">
        <f>AH54+AI54</f>
        <v>0</v>
      </c>
      <c r="AK54" s="57">
        <f>IFERROR(IF((DeurvoerSweet!K16)="",0,(DeurvoerSweet!K16)),0)</f>
        <v>0</v>
      </c>
      <c r="AL54" s="55">
        <f>IFERROR(IF((DeurvoerBitter!K16)="",0,(DeurvoerBitter!K16)),0)</f>
        <v>0</v>
      </c>
      <c r="AM54" s="61">
        <f>AK54+AL54</f>
        <v>0</v>
      </c>
      <c r="AN54" s="57">
        <f t="shared" ref="AN54:AO56" si="26">D54+G54+J54+M54+P54+S54+V54+Y54+AB54+AE54+AH54+AK54</f>
        <v>67952</v>
      </c>
      <c r="AO54" s="55">
        <f t="shared" si="26"/>
        <v>0</v>
      </c>
      <c r="AP54" s="61">
        <f>AN54+AO54</f>
        <v>67952</v>
      </c>
      <c r="AQ54" s="32"/>
      <c r="AR54" s="29" t="s">
        <v>185</v>
      </c>
      <c r="AS54" s="38"/>
    </row>
    <row r="55" spans="1:45" ht="27.75" customHeight="1" x14ac:dyDescent="0.5">
      <c r="A55" s="8"/>
      <c r="B55" t="s">
        <v>186</v>
      </c>
      <c r="C55" s="13"/>
      <c r="D55" s="57">
        <f>IFERROR(IF((DeurvoerSweet!L5)="",0,(DeurvoerSweet!L5)),0)</f>
        <v>10575</v>
      </c>
      <c r="E55" s="55">
        <f>IFERROR(IF((DeurvoerBitter!L5)="",0,(DeurvoerBitter!L5)),0)</f>
        <v>0</v>
      </c>
      <c r="F55" s="61">
        <f>D55+E55</f>
        <v>10575</v>
      </c>
      <c r="G55" s="57">
        <f>IFERROR(IF((DeurvoerSweet!L6)="",0,(DeurvoerSweet!L6)),0)</f>
        <v>9702</v>
      </c>
      <c r="H55" s="55">
        <f>IFERROR(IF((DeurvoerBitter!L6)="",0,(DeurvoerBitter!L6)),0)</f>
        <v>0</v>
      </c>
      <c r="I55" s="61">
        <f>G55+H55</f>
        <v>9702</v>
      </c>
      <c r="J55" s="57">
        <f>IFERROR(IF((DeurvoerSweet!L7)="",0,(DeurvoerSweet!L7)),0)</f>
        <v>7603</v>
      </c>
      <c r="K55" s="55">
        <f>IFERROR(IF((DeurvoerBitter!L7)="",0,(DeurvoerBitter!L7)),0)</f>
        <v>0</v>
      </c>
      <c r="L55" s="61">
        <f>J55+K55</f>
        <v>7603</v>
      </c>
      <c r="M55" s="57">
        <f>IFERROR(IF((DeurvoerSweet!L8)="",0,(DeurvoerSweet!L8)),0)</f>
        <v>3909</v>
      </c>
      <c r="N55" s="55">
        <f>IFERROR(IF((DeurvoerBitter!L8)="",0,(DeurvoerBitter!L8)),0)</f>
        <v>0</v>
      </c>
      <c r="O55" s="61">
        <f>M55+N55</f>
        <v>3909</v>
      </c>
      <c r="P55" s="57">
        <f>IFERROR(IF((DeurvoerSweet!L9)="",0,(DeurvoerSweet!L9)),0)</f>
        <v>1890</v>
      </c>
      <c r="Q55" s="55">
        <f>IFERROR(IF((DeurvoerBitter!L9)="",0,(DeurvoerBitter!L9)),0)</f>
        <v>0</v>
      </c>
      <c r="R55" s="61">
        <f>P55+Q55</f>
        <v>1890</v>
      </c>
      <c r="S55" s="57">
        <f>IFERROR(IF((DeurvoerSweet!L10)="",0,(DeurvoerSweet!L10)),0)</f>
        <v>7087</v>
      </c>
      <c r="T55" s="55">
        <f>IFERROR(IF((DeurvoerBitter!L10)="",0,(DeurvoerBitter!L10)),0)</f>
        <v>0</v>
      </c>
      <c r="U55" s="61">
        <f>S55+T55</f>
        <v>7087</v>
      </c>
      <c r="V55" s="57">
        <f>IFERROR(IF((DeurvoerSweet!L11)="",0,(DeurvoerSweet!L11)),0)</f>
        <v>3062</v>
      </c>
      <c r="W55" s="55">
        <f>IFERROR(IF((DeurvoerBitter!L11)="",0,(DeurvoerBitter!L11)),0)</f>
        <v>0</v>
      </c>
      <c r="X55" s="61">
        <f>V55+W55</f>
        <v>3062</v>
      </c>
      <c r="Y55" s="57">
        <f>IFERROR(IF((DeurvoerSweet!L12)="",0,(DeurvoerSweet!L12)),0)</f>
        <v>7776</v>
      </c>
      <c r="Z55" s="55">
        <f>IFERROR(IF((DeurvoerBitter!L12)="",0,(DeurvoerBitter!L12)),0)</f>
        <v>0</v>
      </c>
      <c r="AA55" s="61">
        <f>Y55+Z55</f>
        <v>7776</v>
      </c>
      <c r="AB55" s="57">
        <f>IFERROR(IF((DeurvoerSweet!L13)="",0,(DeurvoerSweet!L13)),0)</f>
        <v>10485</v>
      </c>
      <c r="AC55" s="55">
        <f>IFERROR(IF((DeurvoerBitter!L13)="",0,(DeurvoerBitter!L13)),0)</f>
        <v>0</v>
      </c>
      <c r="AD55" s="61">
        <f>AB55+AC55</f>
        <v>10485</v>
      </c>
      <c r="AE55" s="57">
        <f>IFERROR(IF((DeurvoerSweet!L14)="",0,(DeurvoerSweet!L14)),0)</f>
        <v>15958</v>
      </c>
      <c r="AF55" s="55">
        <f>IFERROR(IF((DeurvoerBitter!L14)="",0,(DeurvoerBitter!L14)),0)</f>
        <v>0</v>
      </c>
      <c r="AG55" s="61">
        <f>AE55+AF55</f>
        <v>15958</v>
      </c>
      <c r="AH55" s="57">
        <f>IFERROR(IF((DeurvoerSweet!L15)="",0,(DeurvoerSweet!L15)),0)</f>
        <v>2775</v>
      </c>
      <c r="AI55" s="55">
        <f>IFERROR(IF((DeurvoerBitter!L15)="",0,(DeurvoerBitter!L15)),0)</f>
        <v>0</v>
      </c>
      <c r="AJ55" s="61">
        <f>AH55+AI55</f>
        <v>2775</v>
      </c>
      <c r="AK55" s="57">
        <f>IFERROR(IF((DeurvoerSweet!L16)="",0,(DeurvoerSweet!L16)),0)</f>
        <v>405</v>
      </c>
      <c r="AL55" s="55">
        <f>IFERROR(IF((DeurvoerBitter!L16)="",0,(DeurvoerBitter!L16)),0)</f>
        <v>0</v>
      </c>
      <c r="AM55" s="61">
        <f>AK55+AL55</f>
        <v>405</v>
      </c>
      <c r="AN55" s="57">
        <f t="shared" si="26"/>
        <v>81227</v>
      </c>
      <c r="AO55" s="55">
        <f t="shared" si="26"/>
        <v>0</v>
      </c>
      <c r="AP55" s="61">
        <f>AN55+AO55</f>
        <v>81227</v>
      </c>
      <c r="AQ55" s="32"/>
      <c r="AR55" s="29" t="s">
        <v>187</v>
      </c>
      <c r="AS55" s="38"/>
    </row>
    <row r="56" spans="1:45" ht="27.75" customHeight="1" x14ac:dyDescent="0.5">
      <c r="A56" s="8"/>
      <c r="B56" t="s">
        <v>188</v>
      </c>
      <c r="C56" s="13"/>
      <c r="D56" s="58">
        <f>IFERROR(IF((DeurvoerSweet!N5-DeurvoerSweet!M5)="",0,(DeurvoerSweet!N5-DeurvoerSweet!M5)),0)</f>
        <v>-6</v>
      </c>
      <c r="E56" s="54">
        <f>IFERROR(IF((DeurvoerBitter!N5-DeurvoerBitter!M5)="",0,(DeurvoerBitter!N5-DeurvoerBitter!M5)),0)</f>
        <v>0</v>
      </c>
      <c r="F56" s="62">
        <f>D56+E56</f>
        <v>-6</v>
      </c>
      <c r="G56" s="58">
        <f>IFERROR(IF((DeurvoerSweet!N6-DeurvoerSweet!M6)="",0,(DeurvoerSweet!N6-DeurvoerSweet!M6)),0)</f>
        <v>0</v>
      </c>
      <c r="H56" s="54">
        <f>IFERROR(IF((DeurvoerBitter!N6-DeurvoerBitter!M6)="",0,(DeurvoerBitter!N6-DeurvoerBitter!M6)),0)</f>
        <v>0</v>
      </c>
      <c r="I56" s="62">
        <f>G56+H56</f>
        <v>0</v>
      </c>
      <c r="J56" s="58">
        <f>IFERROR(IF((DeurvoerSweet!N7-DeurvoerSweet!M7)="",0,(DeurvoerSweet!N7-DeurvoerSweet!M7)),0)</f>
        <v>57</v>
      </c>
      <c r="K56" s="54">
        <f>IFERROR(IF((DeurvoerBitter!N7-DeurvoerBitter!M7)="",0,(DeurvoerBitter!N7-DeurvoerBitter!M7)),0)</f>
        <v>0</v>
      </c>
      <c r="L56" s="62">
        <f>J56+K56</f>
        <v>57</v>
      </c>
      <c r="M56" s="58">
        <f>IFERROR(IF((DeurvoerSweet!N8-DeurvoerSweet!M8)="",0,(DeurvoerSweet!N8-DeurvoerSweet!M8)),0)</f>
        <v>0</v>
      </c>
      <c r="N56" s="54">
        <f>IFERROR(IF((DeurvoerBitter!N8-DeurvoerBitter!M8)="",0,(DeurvoerBitter!N8-DeurvoerBitter!M8)),0)</f>
        <v>0</v>
      </c>
      <c r="O56" s="62">
        <f>M56+N56</f>
        <v>0</v>
      </c>
      <c r="P56" s="58">
        <f>IFERROR(IF((DeurvoerSweet!N9-DeurvoerSweet!M9)="",0,(DeurvoerSweet!N9-DeurvoerSweet!M9)),0)</f>
        <v>1</v>
      </c>
      <c r="Q56" s="54">
        <f>IFERROR(IF((DeurvoerBitter!N9-DeurvoerBitter!M9)="",0,(DeurvoerBitter!N9-DeurvoerBitter!M9)),0)</f>
        <v>0</v>
      </c>
      <c r="R56" s="62">
        <f>P56+Q56</f>
        <v>1</v>
      </c>
      <c r="S56" s="58">
        <f>IFERROR(IF((DeurvoerSweet!N10-DeurvoerSweet!M10)="",0,(DeurvoerSweet!N10-DeurvoerSweet!M10)),0)</f>
        <v>-14</v>
      </c>
      <c r="T56" s="54">
        <f>IFERROR(IF((DeurvoerBitter!N10-DeurvoerBitter!M10)="",0,(DeurvoerBitter!N10-DeurvoerBitter!M10)),0)</f>
        <v>0</v>
      </c>
      <c r="U56" s="62">
        <f>S56+T56</f>
        <v>-14</v>
      </c>
      <c r="V56" s="58">
        <f>IFERROR(IF((DeurvoerSweet!N11-DeurvoerSweet!M11)="",0,(DeurvoerSweet!N11-DeurvoerSweet!M11)),0)</f>
        <v>0</v>
      </c>
      <c r="W56" s="54">
        <f>IFERROR(IF((DeurvoerBitter!N11-DeurvoerBitter!M11)="",0,(DeurvoerBitter!N11-DeurvoerBitter!M11)),0)</f>
        <v>0</v>
      </c>
      <c r="X56" s="62">
        <f>V56+W56</f>
        <v>0</v>
      </c>
      <c r="Y56" s="58">
        <f>IFERROR(IF((DeurvoerSweet!N12-DeurvoerSweet!M12)="",0,(DeurvoerSweet!N12-DeurvoerSweet!M12)),0)</f>
        <v>0</v>
      </c>
      <c r="Z56" s="54">
        <f>IFERROR(IF((DeurvoerBitter!N12-DeurvoerBitter!M12)="",0,(DeurvoerBitter!N12-DeurvoerBitter!M12)),0)</f>
        <v>0</v>
      </c>
      <c r="AA56" s="62">
        <f>Y56+Z56</f>
        <v>0</v>
      </c>
      <c r="AB56" s="58">
        <f>IFERROR(IF((DeurvoerSweet!N13-DeurvoerSweet!M13)="",0,(DeurvoerSweet!N13-DeurvoerSweet!M13)),0)</f>
        <v>37</v>
      </c>
      <c r="AC56" s="54">
        <f>IFERROR(IF((DeurvoerBitter!N13-DeurvoerBitter!M13)="",0,(DeurvoerBitter!N13-DeurvoerBitter!M13)),0)</f>
        <v>0</v>
      </c>
      <c r="AD56" s="62">
        <f>AB56+AC56</f>
        <v>37</v>
      </c>
      <c r="AE56" s="58">
        <f>IFERROR(IF((DeurvoerSweet!N14-DeurvoerSweet!M14)="",0,(DeurvoerSweet!N14-DeurvoerSweet!M14)),0)</f>
        <v>-102</v>
      </c>
      <c r="AF56" s="54">
        <f>IFERROR(IF((DeurvoerBitter!N14-DeurvoerBitter!M14)="",0,(DeurvoerBitter!N14-DeurvoerBitter!M14)),0)</f>
        <v>0</v>
      </c>
      <c r="AG56" s="62">
        <f>AE56+AF56</f>
        <v>-102</v>
      </c>
      <c r="AH56" s="58">
        <f>IFERROR(IF((DeurvoerSweet!N15-DeurvoerSweet!M15)="",0,(DeurvoerSweet!N15-DeurvoerSweet!M15)),0)</f>
        <v>0</v>
      </c>
      <c r="AI56" s="54">
        <f>IFERROR(IF((DeurvoerBitter!N15-DeurvoerBitter!M15)="",0,(DeurvoerBitter!N15-DeurvoerBitter!M15)),0)</f>
        <v>0</v>
      </c>
      <c r="AJ56" s="62">
        <f>AH56+AI56</f>
        <v>0</v>
      </c>
      <c r="AK56" s="58">
        <f>IFERROR(IF((DeurvoerSweet!N16-DeurvoerSweet!M16)="",0,(DeurvoerSweet!N16-DeurvoerSweet!M16)),0)</f>
        <v>0</v>
      </c>
      <c r="AL56" s="54">
        <f>IFERROR(IF((DeurvoerBitter!N16-DeurvoerBitter!M16)="",0,(DeurvoerBitter!N16-DeurvoerBitter!M16)),0)</f>
        <v>0</v>
      </c>
      <c r="AM56" s="62">
        <f>AK56+AL56</f>
        <v>0</v>
      </c>
      <c r="AN56" s="58">
        <f t="shared" si="26"/>
        <v>-27</v>
      </c>
      <c r="AO56" s="54">
        <f t="shared" si="26"/>
        <v>0</v>
      </c>
      <c r="AP56" s="62">
        <f>AN56+AO56</f>
        <v>-27</v>
      </c>
      <c r="AQ56" s="32"/>
      <c r="AR56" s="29" t="s">
        <v>189</v>
      </c>
      <c r="AS56" s="38"/>
    </row>
    <row r="57" spans="1:45" ht="27.75" customHeight="1" x14ac:dyDescent="0.5">
      <c r="A57" s="9"/>
      <c r="B57" s="11" t="s">
        <v>190</v>
      </c>
      <c r="C57" s="14"/>
      <c r="D57" s="59">
        <f>D53+D54-D55-D56</f>
        <v>5181</v>
      </c>
      <c r="E57" s="52">
        <f>E53+E54-E55-ED56</f>
        <v>0</v>
      </c>
      <c r="F57" s="63">
        <f>D57+E57</f>
        <v>5181</v>
      </c>
      <c r="G57" s="59">
        <f>G53+G54-G55-G56</f>
        <v>17697</v>
      </c>
      <c r="H57" s="52">
        <f>H53+H54-H55-H56</f>
        <v>0</v>
      </c>
      <c r="I57" s="63">
        <f>G57+H57</f>
        <v>17697</v>
      </c>
      <c r="J57" s="59">
        <f>J53+J54-J55-J56</f>
        <v>10037</v>
      </c>
      <c r="K57" s="52">
        <f>K53+K54-K55-K56</f>
        <v>0</v>
      </c>
      <c r="L57" s="63">
        <f>J57+K57</f>
        <v>10037</v>
      </c>
      <c r="M57" s="59">
        <f>M53+M54-M55-M56</f>
        <v>8088</v>
      </c>
      <c r="N57" s="52">
        <f>N53+N54-N55-N56</f>
        <v>0</v>
      </c>
      <c r="O57" s="63">
        <f>M57+N57</f>
        <v>8088</v>
      </c>
      <c r="P57" s="59">
        <f>P53+P54-P55-P56</f>
        <v>12650</v>
      </c>
      <c r="Q57" s="52">
        <f>Q53+Q54-Q55-Q56</f>
        <v>0</v>
      </c>
      <c r="R57" s="63">
        <f>P57+Q57</f>
        <v>12650</v>
      </c>
      <c r="S57" s="59">
        <f>S53+S54-S55-S56</f>
        <v>5577</v>
      </c>
      <c r="T57" s="52">
        <f>T53+T54-T55-T56</f>
        <v>0</v>
      </c>
      <c r="U57" s="63">
        <f>S57+T57</f>
        <v>5577</v>
      </c>
      <c r="V57" s="59">
        <f>V53+V54-V55-V56</f>
        <v>22513</v>
      </c>
      <c r="W57" s="52">
        <f>W53+W54-W55-W56</f>
        <v>0</v>
      </c>
      <c r="X57" s="63">
        <f>V57+W57</f>
        <v>22513</v>
      </c>
      <c r="Y57" s="59">
        <f>Y53+Y54-Y55-Y56</f>
        <v>16707</v>
      </c>
      <c r="Z57" s="52">
        <f>Z53+Z54-Z55-Z56</f>
        <v>0</v>
      </c>
      <c r="AA57" s="63">
        <f>Y57+Z57</f>
        <v>16707</v>
      </c>
      <c r="AB57" s="59">
        <f>AB53+AB54-AB55-AB56</f>
        <v>21538</v>
      </c>
      <c r="AC57" s="52">
        <f>AC53+AC54-AC55-AC56</f>
        <v>0</v>
      </c>
      <c r="AD57" s="63">
        <f>AB57+AC57</f>
        <v>21538</v>
      </c>
      <c r="AE57" s="59">
        <f>AE53+AE54-AE55-AE56</f>
        <v>5682</v>
      </c>
      <c r="AF57" s="52">
        <f>AF53+AF54-AF55-AF56</f>
        <v>0</v>
      </c>
      <c r="AG57" s="63">
        <f>AE57+AF57</f>
        <v>5682</v>
      </c>
      <c r="AH57" s="59">
        <f>AH53+AH54-AH55-AH56</f>
        <v>2907</v>
      </c>
      <c r="AI57" s="52">
        <f>AI53+AI54-AI55-AI56</f>
        <v>0</v>
      </c>
      <c r="AJ57" s="63">
        <f>AH57+AI57</f>
        <v>2907</v>
      </c>
      <c r="AK57" s="59">
        <f>AK53+AK54-AK55-AK56</f>
        <v>2502</v>
      </c>
      <c r="AL57" s="52">
        <f>AL53+AL54-AL55-AL56</f>
        <v>0</v>
      </c>
      <c r="AM57" s="63">
        <f>AK57+AL57</f>
        <v>2502</v>
      </c>
      <c r="AN57" s="59">
        <f>AN53+AN54-AN55-AN56</f>
        <v>2502</v>
      </c>
      <c r="AO57" s="52">
        <f>AO53+AO54-AO55-AO56</f>
        <v>0</v>
      </c>
      <c r="AP57" s="63">
        <f>AN57+AO57</f>
        <v>2502</v>
      </c>
      <c r="AQ57" s="31"/>
      <c r="AR57" s="40" t="s">
        <v>191</v>
      </c>
      <c r="AS57" s="37"/>
    </row>
    <row r="58" spans="1:45" ht="27.75" customHeight="1" x14ac:dyDescent="0.5"/>
    <row r="59" spans="1:45" ht="27.75" customHeight="1" x14ac:dyDescent="0.5">
      <c r="A59" t="s">
        <v>192</v>
      </c>
    </row>
    <row r="60" spans="1:45" ht="27.75" customHeight="1" x14ac:dyDescent="0.5">
      <c r="A60" t="s">
        <v>193</v>
      </c>
    </row>
    <row r="61" spans="1:45" ht="27.75" customHeight="1" x14ac:dyDescent="0.5">
      <c r="A61" t="s">
        <v>194</v>
      </c>
    </row>
    <row r="62" spans="1:45" ht="27.75" customHeight="1" x14ac:dyDescent="0.5">
      <c r="A62" t="s">
        <v>195</v>
      </c>
    </row>
    <row r="63" spans="1:45" ht="27.75" customHeight="1" x14ac:dyDescent="0.5"/>
    <row r="64" spans="1:45" ht="27.75" customHeight="1" x14ac:dyDescent="0.5"/>
    <row r="65" ht="27.75" customHeight="1" x14ac:dyDescent="0.5"/>
  </sheetData>
  <sheetProtection formatCells="0" formatColumns="0" formatRows="0" insertHyperlinks="0" deleteColumns="0" deleteRows="0" autoFilter="0" pivotTables="0"/>
  <protectedRanges>
    <protectedRange password="CE4B" sqref="A1:BZ2 A13:BZ60 A12:AM12 AQ12:BZ12 A7:BZ11 A6:AM6 AT6:BZ6 A4:AP5 AT3:BZ5 A3:C3" name="p1297cc9983cad28477cc9879d3e69cc7"/>
    <protectedRange password="CE4B" sqref="AN12:AP12" name="p1297cc9983cad28477cc9879d3e69cc7_1"/>
    <protectedRange password="CE4B" sqref="AN6:AP6" name="p1297cc9983cad28477cc9879d3e69cc7_2"/>
    <protectedRange password="CE4B" sqref="D3:AP3" name="p1297cc9983cad28477cc9879d3e69cc7_4"/>
    <protectedRange password="CE4B" sqref="AQ3:AS6" name="p1297cc9983cad28477cc9879d3e69cc7_5"/>
  </protectedRanges>
  <mergeCells count="49">
    <mergeCell ref="A52:C52"/>
    <mergeCell ref="AQ52:AS52"/>
    <mergeCell ref="D1:AP1"/>
    <mergeCell ref="D2:AP2"/>
    <mergeCell ref="D3:AP3"/>
    <mergeCell ref="D4:AP4"/>
    <mergeCell ref="D5:F6"/>
    <mergeCell ref="G5:I6"/>
    <mergeCell ref="J5:L6"/>
    <mergeCell ref="M5:O6"/>
    <mergeCell ref="P5:R6"/>
    <mergeCell ref="S5:U6"/>
    <mergeCell ref="V5:X6"/>
    <mergeCell ref="Y5:AA6"/>
    <mergeCell ref="AB5:AD6"/>
    <mergeCell ref="AE5:AG6"/>
    <mergeCell ref="S10:U10"/>
    <mergeCell ref="V10:X10"/>
    <mergeCell ref="Y10:AA10"/>
    <mergeCell ref="AB10:AD10"/>
    <mergeCell ref="AE10:AG10"/>
    <mergeCell ref="D10:F10"/>
    <mergeCell ref="G10:I10"/>
    <mergeCell ref="J10:L10"/>
    <mergeCell ref="M10:O10"/>
    <mergeCell ref="P10:R10"/>
    <mergeCell ref="AN45:AP45"/>
    <mergeCell ref="AH5:AJ6"/>
    <mergeCell ref="AK5:AM6"/>
    <mergeCell ref="AH10:AJ10"/>
    <mergeCell ref="AK10:AM10"/>
    <mergeCell ref="AN5:AP5"/>
    <mergeCell ref="AN6:AP6"/>
    <mergeCell ref="AQ3:AS3"/>
    <mergeCell ref="AQ6:AS6"/>
    <mergeCell ref="AN12:AP12"/>
    <mergeCell ref="AN10:AP10"/>
    <mergeCell ref="D45:F45"/>
    <mergeCell ref="G45:I45"/>
    <mergeCell ref="J45:L45"/>
    <mergeCell ref="M45:O45"/>
    <mergeCell ref="P45:R45"/>
    <mergeCell ref="S45:U45"/>
    <mergeCell ref="V45:X45"/>
    <mergeCell ref="Y45:AA45"/>
    <mergeCell ref="AB45:AD45"/>
    <mergeCell ref="AE45:AG45"/>
    <mergeCell ref="AH45:AJ45"/>
    <mergeCell ref="AK45:AM45"/>
  </mergeCells>
  <pageMargins left="0.2" right="0.2" top="0.6" bottom="0.75" header="0.3" footer="0.3"/>
  <pageSetup paperSize="9" scale="29" fitToWidth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5"/>
  <sheetViews>
    <sheetView topLeftCell="B34" zoomScale="50" workbookViewId="0">
      <selection activeCell="N46" sqref="N46"/>
    </sheetView>
  </sheetViews>
  <sheetFormatPr defaultRowHeight="28.2" x14ac:dyDescent="0.5"/>
  <cols>
    <col min="1" max="2" width="2.17578125" customWidth="1"/>
    <col min="3" max="3" width="34.17578125" customWidth="1"/>
    <col min="4" max="16" width="12" customWidth="1"/>
    <col min="17" max="17" width="34.17578125" customWidth="1"/>
    <col min="18" max="19" width="2.17578125" customWidth="1"/>
  </cols>
  <sheetData>
    <row r="1" spans="1:19" ht="30" customHeight="1" x14ac:dyDescent="0.5">
      <c r="A1" s="7"/>
      <c r="B1" s="10"/>
      <c r="C1" s="12"/>
      <c r="D1" s="135" t="s">
        <v>69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24"/>
      <c r="R1" s="10"/>
      <c r="S1" s="12"/>
    </row>
    <row r="2" spans="1:19" ht="30" customHeight="1" x14ac:dyDescent="0.5">
      <c r="A2" s="8"/>
      <c r="C2" s="13"/>
      <c r="D2" s="100" t="s">
        <v>196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Q2" s="100" t="str">
        <f>Langstaat!AQ3</f>
        <v>SMD-042017</v>
      </c>
      <c r="R2" s="101"/>
      <c r="S2" s="102"/>
    </row>
    <row r="3" spans="1:19" ht="30" customHeight="1" x14ac:dyDescent="0.5">
      <c r="A3" s="8"/>
      <c r="C3" s="13"/>
      <c r="D3" s="100" t="str">
        <f>[1]Langstaat!D3</f>
        <v>2016/2017 Year(Mar - Feb) FINAL/ 2016/2017 Jaar(Mrt - Feb) FINAAL (2)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  <c r="Q3" s="47"/>
      <c r="R3" s="48"/>
      <c r="S3" s="49"/>
    </row>
    <row r="4" spans="1:19" ht="30" customHeight="1" x14ac:dyDescent="0.5">
      <c r="A4" s="8"/>
      <c r="C4" s="13"/>
      <c r="D4" s="136" t="s">
        <v>72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7"/>
      <c r="Q4" s="47"/>
      <c r="R4" s="48"/>
      <c r="S4" s="49"/>
    </row>
    <row r="5" spans="1:19" ht="30" customHeight="1" x14ac:dyDescent="0.5">
      <c r="A5" s="8"/>
      <c r="C5" s="13"/>
      <c r="D5" s="7"/>
      <c r="E5" s="10"/>
      <c r="F5" s="12"/>
      <c r="G5" s="153" t="s">
        <v>431</v>
      </c>
      <c r="H5" s="123"/>
      <c r="I5" s="124"/>
      <c r="J5" s="122" t="s">
        <v>85</v>
      </c>
      <c r="K5" s="123"/>
      <c r="L5" s="124"/>
      <c r="M5" s="45"/>
      <c r="N5" s="122" t="s">
        <v>85</v>
      </c>
      <c r="O5" s="123"/>
      <c r="P5" s="124"/>
      <c r="Q5" s="155" t="str">
        <f>Langstaat!AQ6</f>
        <v>2017-04-26</v>
      </c>
      <c r="R5" s="101"/>
      <c r="S5" s="102"/>
    </row>
    <row r="6" spans="1:19" ht="30" customHeight="1" x14ac:dyDescent="0.5">
      <c r="A6" s="8"/>
      <c r="C6" s="13"/>
      <c r="D6" s="152" t="s">
        <v>452</v>
      </c>
      <c r="E6" s="126"/>
      <c r="F6" s="127"/>
      <c r="G6" s="125" t="s">
        <v>454</v>
      </c>
      <c r="H6" s="126"/>
      <c r="I6" s="127"/>
      <c r="J6" s="125" t="str">
        <f>Langstaat!AN6</f>
        <v>Mar/Mrt 2016 - Feb 2017</v>
      </c>
      <c r="K6" s="126"/>
      <c r="L6" s="127"/>
      <c r="M6" s="64"/>
      <c r="N6" s="125" t="s">
        <v>456</v>
      </c>
      <c r="O6" s="126"/>
      <c r="P6" s="127"/>
      <c r="Q6" s="22"/>
      <c r="S6" s="13"/>
    </row>
    <row r="7" spans="1:19" ht="30" customHeight="1" x14ac:dyDescent="0.5">
      <c r="A7" s="8"/>
      <c r="C7" s="13"/>
      <c r="D7" s="45" t="s">
        <v>198</v>
      </c>
      <c r="E7" s="45" t="s">
        <v>199</v>
      </c>
      <c r="F7" s="45" t="s">
        <v>51</v>
      </c>
      <c r="G7" s="45" t="s">
        <v>198</v>
      </c>
      <c r="H7" s="45" t="s">
        <v>199</v>
      </c>
      <c r="I7" s="45" t="s">
        <v>51</v>
      </c>
      <c r="J7" s="45" t="s">
        <v>198</v>
      </c>
      <c r="K7" s="45" t="s">
        <v>199</v>
      </c>
      <c r="L7" s="45" t="s">
        <v>51</v>
      </c>
      <c r="M7" s="64" t="s">
        <v>200</v>
      </c>
      <c r="N7" s="45" t="s">
        <v>198</v>
      </c>
      <c r="O7" s="45" t="s">
        <v>199</v>
      </c>
      <c r="P7" s="45" t="s">
        <v>51</v>
      </c>
      <c r="Q7" s="22"/>
      <c r="S7" s="13"/>
    </row>
    <row r="8" spans="1:19" ht="30" customHeight="1" x14ac:dyDescent="0.5">
      <c r="A8" s="9"/>
      <c r="B8" s="11"/>
      <c r="C8" s="14"/>
      <c r="D8" s="46" t="s">
        <v>201</v>
      </c>
      <c r="E8" s="46" t="s">
        <v>88</v>
      </c>
      <c r="F8" s="46" t="s">
        <v>89</v>
      </c>
      <c r="G8" s="46" t="s">
        <v>201</v>
      </c>
      <c r="H8" s="46" t="s">
        <v>88</v>
      </c>
      <c r="I8" s="46" t="s">
        <v>89</v>
      </c>
      <c r="J8" s="46" t="s">
        <v>201</v>
      </c>
      <c r="K8" s="46" t="s">
        <v>88</v>
      </c>
      <c r="L8" s="46" t="s">
        <v>89</v>
      </c>
      <c r="M8" s="46" t="s">
        <v>202</v>
      </c>
      <c r="N8" s="46" t="s">
        <v>201</v>
      </c>
      <c r="O8" s="46" t="s">
        <v>88</v>
      </c>
      <c r="P8" s="46" t="s">
        <v>89</v>
      </c>
      <c r="Q8" s="66"/>
      <c r="R8" s="40"/>
      <c r="S8" s="37"/>
    </row>
    <row r="9" spans="1:19" ht="9.75" customHeight="1" x14ac:dyDescent="0.5">
      <c r="A9" s="1"/>
      <c r="M9" s="48"/>
      <c r="Q9" s="29"/>
      <c r="R9" s="29"/>
      <c r="S9" s="44"/>
    </row>
    <row r="10" spans="1:19" ht="30" customHeight="1" x14ac:dyDescent="0.5">
      <c r="A10" s="24"/>
      <c r="B10" s="10"/>
      <c r="C10" s="10"/>
      <c r="D10" s="154" t="s">
        <v>436</v>
      </c>
      <c r="E10" s="105"/>
      <c r="F10" s="106"/>
      <c r="G10" s="154" t="s">
        <v>435</v>
      </c>
      <c r="H10" s="105"/>
      <c r="I10" s="106"/>
      <c r="J10" s="104" t="str">
        <f>Langstaat!AN10</f>
        <v>1 Mar/Mrt 2016</v>
      </c>
      <c r="K10" s="105"/>
      <c r="L10" s="106"/>
      <c r="M10" s="65"/>
      <c r="N10" s="146" t="s">
        <v>480</v>
      </c>
      <c r="O10" s="105"/>
      <c r="P10" s="106"/>
      <c r="Q10" s="39"/>
      <c r="R10" s="39"/>
      <c r="S10" s="42"/>
    </row>
    <row r="11" spans="1:19" ht="30" customHeight="1" x14ac:dyDescent="0.5">
      <c r="A11" s="22" t="s">
        <v>102</v>
      </c>
      <c r="D11" s="52">
        <f>INDEX(Sweet!B39:'Sweet'!B50,MATCH(9.99999999999999E+307,Sweet!B39:'Sweet'!B50)-1)-INDEX(DeurvoerSweet!J5:'DeurvoerSweet'!J16,MATCH(9.99999999999999E+307,DeurvoerSweet!J5:'DeurvoerSweet'!J16)-1)</f>
        <v>54262</v>
      </c>
      <c r="E11" s="52">
        <f>INDEX(Bitter!B39:'Bitter'!B50,MATCH(9.99999999999999E+307,Bitter!B39:'Bitter'!B50)-1)-INDEX(DeurvoerBitter!J5:'DeurvoerBitter'!J16,MATCH(9.99999999999999E+307,DeurvoerBitter!J5:'DeurvoerBitter'!J16)-1)</f>
        <v>7622</v>
      </c>
      <c r="F11" s="52">
        <f>D11+E11</f>
        <v>61884</v>
      </c>
      <c r="G11" s="52">
        <f>INDEX(Sweet!B39:'Sweet'!B50,MATCH(9.99999999999999E+307,Sweet!B39:'Sweet'!B50)) - INDEX(DeurvoerSweet!J5:'DeurvoerSweet'!J16,MATCH(9.99999999999999E+307,DeurvoerSweet!J5:'DeurvoerSweet'!J16))</f>
        <v>43736</v>
      </c>
      <c r="H11" s="52">
        <f>INDEX(Bitter!B39:'Bitter'!B50,MATCH(9.99999999999999E+307,Bitter!B39:'Bitter'!B50)) - INDEX(DeurvoerBitter!J5:'DeurvoerBitter'!J16,MATCH(9.99999999999999E+307,DeurvoerBitter!J5:'DeurvoerBitter'!J16))</f>
        <v>4107</v>
      </c>
      <c r="I11" s="52">
        <f>G11+H11</f>
        <v>47843</v>
      </c>
      <c r="J11" s="52">
        <f>Langstaat!AN11</f>
        <v>57445</v>
      </c>
      <c r="K11" s="52">
        <f>Langstaat!AO11</f>
        <v>25697</v>
      </c>
      <c r="L11" s="52">
        <f>J11+K11</f>
        <v>83142</v>
      </c>
      <c r="M11" s="67">
        <f>ROUND(IFERROR((L11-P11)/P11*100,IF(L11-P11=0,0,100)),1)</f>
        <v>-31.7</v>
      </c>
      <c r="N11" s="52">
        <f>Sweet!B55 - DeurvoerSweet!J37</f>
        <v>66266</v>
      </c>
      <c r="O11" s="52">
        <f>Bitter!B55 - DeurvoerBitter!J37</f>
        <v>55546</v>
      </c>
      <c r="P11" s="52">
        <f>N11+O11</f>
        <v>121812</v>
      </c>
      <c r="Q11" s="29"/>
      <c r="R11" s="29"/>
      <c r="S11" s="41" t="s">
        <v>103</v>
      </c>
    </row>
    <row r="12" spans="1:19" ht="30" customHeight="1" x14ac:dyDescent="0.5">
      <c r="A12" s="22"/>
      <c r="D12" s="2"/>
      <c r="E12" s="2"/>
      <c r="F12" s="2"/>
      <c r="G12" s="2"/>
      <c r="H12" s="2"/>
      <c r="I12" s="2"/>
      <c r="J12" s="103" t="str">
        <f>Langstaat!AN12</f>
        <v>Prog. Mar/Mrt 2016 - Feb 2017</v>
      </c>
      <c r="K12" s="103"/>
      <c r="L12" s="103"/>
      <c r="M12" s="68"/>
      <c r="N12" s="103" t="s">
        <v>455</v>
      </c>
      <c r="O12" s="103"/>
      <c r="P12" s="103"/>
      <c r="Q12" s="29"/>
      <c r="R12" s="29"/>
      <c r="S12" s="41"/>
    </row>
    <row r="13" spans="1:19" ht="30" customHeight="1" x14ac:dyDescent="0.5">
      <c r="A13" s="22" t="s">
        <v>104</v>
      </c>
      <c r="D13" s="52">
        <f t="shared" ref="D13:L13" si="0">D14+D15</f>
        <v>1472</v>
      </c>
      <c r="E13" s="52">
        <f t="shared" si="0"/>
        <v>34</v>
      </c>
      <c r="F13" s="52">
        <f t="shared" si="0"/>
        <v>1506</v>
      </c>
      <c r="G13" s="52">
        <f t="shared" si="0"/>
        <v>792</v>
      </c>
      <c r="H13" s="52">
        <f t="shared" si="0"/>
        <v>0</v>
      </c>
      <c r="I13" s="52">
        <f t="shared" si="0"/>
        <v>792</v>
      </c>
      <c r="J13" s="52">
        <f t="shared" si="0"/>
        <v>127558</v>
      </c>
      <c r="K13" s="52">
        <f t="shared" si="0"/>
        <v>15977</v>
      </c>
      <c r="L13" s="52">
        <f t="shared" si="0"/>
        <v>143535</v>
      </c>
      <c r="M13" s="67">
        <f>ROUND(IFERROR((L13-P13)/P13*100,IF(L13-P13=0,0,100)),1)</f>
        <v>-7.1</v>
      </c>
      <c r="N13" s="52">
        <f>N14+N15</f>
        <v>133505</v>
      </c>
      <c r="O13" s="52">
        <f>O14+O15</f>
        <v>21042</v>
      </c>
      <c r="P13" s="52">
        <f>P14+P15</f>
        <v>154547</v>
      </c>
      <c r="Q13" s="29"/>
      <c r="R13" s="29"/>
      <c r="S13" s="41" t="s">
        <v>105</v>
      </c>
    </row>
    <row r="14" spans="1:19" ht="30" customHeight="1" x14ac:dyDescent="0.5">
      <c r="A14" s="22"/>
      <c r="B14" s="7" t="s">
        <v>106</v>
      </c>
      <c r="C14" s="10"/>
      <c r="D14" s="53">
        <f>INDEX(Sweet!C39:'Sweet'!C50,MATCH(9.99999999999999E+307,Sweet!C39:'Sweet'!C50)-1)</f>
        <v>1447</v>
      </c>
      <c r="E14" s="53">
        <f>INDEX(Bitter!C39:'Bitter'!C50,MATCH(9.99999999999999E+307,Bitter!C39:'Bitter'!C50)-1)</f>
        <v>34</v>
      </c>
      <c r="F14" s="53">
        <f>D14+E14</f>
        <v>1481</v>
      </c>
      <c r="G14" s="53">
        <f>INDEX(Sweet!C39:'Sweet'!C50,MATCH(9.99999999999999E+307,Sweet!C39:'Sweet'!C50))</f>
        <v>792</v>
      </c>
      <c r="H14" s="53">
        <f>INDEX(Bitter!C39:'Bitter'!C50,MATCH(9.99999999999999E+307,Bitter!C39:'Bitter'!C50))</f>
        <v>0</v>
      </c>
      <c r="I14" s="53">
        <f>G14+H14</f>
        <v>792</v>
      </c>
      <c r="J14" s="53">
        <f>Langstaat!AN14</f>
        <v>52601</v>
      </c>
      <c r="K14" s="53">
        <f>Langstaat!AO14</f>
        <v>15977</v>
      </c>
      <c r="L14" s="53">
        <f>J14+K14</f>
        <v>68578</v>
      </c>
      <c r="M14" s="69">
        <f>ROUND(IFERROR((L14-P14)/P14*100,IF(L14-P14=0,0,100)),1)</f>
        <v>-43</v>
      </c>
      <c r="N14" s="53">
        <f>Sweet!C67</f>
        <v>99189</v>
      </c>
      <c r="O14" s="53">
        <f>Bitter!C67</f>
        <v>21042</v>
      </c>
      <c r="P14" s="53">
        <f>N14+O14</f>
        <v>120231</v>
      </c>
      <c r="Q14" s="39"/>
      <c r="R14" s="36" t="s">
        <v>107</v>
      </c>
      <c r="S14" s="41"/>
    </row>
    <row r="15" spans="1:19" ht="30" customHeight="1" x14ac:dyDescent="0.5">
      <c r="A15" s="22"/>
      <c r="B15" s="9" t="s">
        <v>108</v>
      </c>
      <c r="C15" s="11"/>
      <c r="D15" s="54">
        <f>INDEX(Sweet!D39:'Sweet'!D50,MATCH(9.99999999999999E+307,Sweet!D39:'Sweet'!D50)-1)+INDEX(Sweet!E39:'Sweet'!E50,MATCH(9.99999999999999E+307,Sweet!E39:'Sweet'!E50)-1)-INDEX(DeurvoerSweet!K5:'DeurvoerSweet'!K16,MATCH(9.99999999999999E+307,DeurvoerSweet!K5:'DeurvoerSweet'!K16)-1)</f>
        <v>25</v>
      </c>
      <c r="E15" s="54">
        <f>INDEX(Bitter!D39:'Bitter'!D50,MATCH(9.99999999999999E+307,Bitter!D39:'Bitter'!D50)-1)+INDEX(Bitter!E39:'Bitter'!E50,MATCH(9.99999999999999E+307,Bitter!E39:'Bitter'!E50)-1)-INDEX(DeurvoerBitter!K5:'DeurvoerBitter'!K16,MATCH(9.99999999999999E+307,DeurvoerBitter!K5:'DeurvoerBitter'!K16)-1)</f>
        <v>0</v>
      </c>
      <c r="F15" s="54">
        <f>D15+E15</f>
        <v>25</v>
      </c>
      <c r="G15" s="54">
        <f>INDEX(Sweet!D39:'Sweet'!D50,MATCH(9.99999999999999E+307,Sweet!D39:'Sweet'!D50))+INDEX(Sweet!E39:'Sweet'!E50,MATCH(9.99999999999999E+307,Sweet!E39:'Sweet'!E50)) - INDEX(DeurvoerSweet!K5:'DeurvoerSweet'!K16,MATCH(9.99999999999999E+307,DeurvoerSweet!K5:'DeurvoerSweet'!K16))</f>
        <v>0</v>
      </c>
      <c r="H15" s="54">
        <f>INDEX(Bitter!D39:'Bitter'!D50,MATCH(9.99999999999999E+307,Bitter!D39:'Bitter'!D50))+INDEX(Bitter!E39:'Bitter'!E50,MATCH(9.99999999999999E+307,Bitter!E39:'Bitter'!E50)) - INDEX(DeurvoerBitter!K5:'DeurvoerBitter'!K16,MATCH(9.99999999999999E+307,DeurvoerBitter!K5:'DeurvoerBitter'!K16))</f>
        <v>0</v>
      </c>
      <c r="I15" s="54">
        <f>G15+H15</f>
        <v>0</v>
      </c>
      <c r="J15" s="54">
        <f>Langstaat!AN15</f>
        <v>74957</v>
      </c>
      <c r="K15" s="54">
        <f>Langstaat!AO15</f>
        <v>0</v>
      </c>
      <c r="L15" s="54">
        <f>J15+K15</f>
        <v>74957</v>
      </c>
      <c r="M15" s="70">
        <f>ROUND(IFERROR((L15-P15)/P15*100,IF(L15-P15=0,0,100)),1)</f>
        <v>118.4</v>
      </c>
      <c r="N15" s="54">
        <f>Sweet!D67+Sweet!E67-DeurvoerSweet!K49</f>
        <v>34316</v>
      </c>
      <c r="O15" s="54">
        <f>Bitter!D67+Bitter!E67-DeurvoerBitter!K49</f>
        <v>0</v>
      </c>
      <c r="P15" s="54">
        <f>N15+O15</f>
        <v>34316</v>
      </c>
      <c r="Q15" s="40"/>
      <c r="R15" s="37" t="s">
        <v>109</v>
      </c>
      <c r="S15" s="41"/>
    </row>
    <row r="16" spans="1:19" ht="30" customHeight="1" x14ac:dyDescent="0.5">
      <c r="A16" s="22"/>
      <c r="D16" s="2"/>
      <c r="E16" s="2"/>
      <c r="F16" s="2"/>
      <c r="G16" s="2"/>
      <c r="H16" s="2"/>
      <c r="I16" s="2"/>
      <c r="J16" s="2"/>
      <c r="K16" s="2"/>
      <c r="L16" s="2"/>
      <c r="M16" s="68"/>
      <c r="N16" s="2"/>
      <c r="O16" s="2"/>
      <c r="P16" s="2"/>
      <c r="Q16" s="29"/>
      <c r="R16" s="29"/>
      <c r="S16" s="41"/>
    </row>
    <row r="17" spans="1:19" ht="30" customHeight="1" x14ac:dyDescent="0.5">
      <c r="A17" s="22" t="s">
        <v>110</v>
      </c>
      <c r="D17" s="52">
        <f t="shared" ref="D17:I17" si="1">D18+D29+D30+D31</f>
        <v>9328</v>
      </c>
      <c r="E17" s="52">
        <f t="shared" si="1"/>
        <v>3881</v>
      </c>
      <c r="F17" s="52">
        <f t="shared" si="1"/>
        <v>13209</v>
      </c>
      <c r="G17" s="52">
        <f t="shared" si="1"/>
        <v>12216</v>
      </c>
      <c r="H17" s="52">
        <f t="shared" si="1"/>
        <v>514</v>
      </c>
      <c r="I17" s="52">
        <f t="shared" si="1"/>
        <v>12730</v>
      </c>
      <c r="J17" s="52">
        <f>J18 + J29 + J30 + J31</f>
        <v>138095</v>
      </c>
      <c r="K17" s="52">
        <f>K18 + K29 + K30 + K31</f>
        <v>34073</v>
      </c>
      <c r="L17" s="52">
        <f>L18 + L29 + L30 + L31</f>
        <v>172168</v>
      </c>
      <c r="M17" s="67">
        <f t="shared" ref="M17:M31" si="2">ROUND(IFERROR((L17-P17)/P17*100,IF(L17-P17=0,0,100)),1)</f>
        <v>4.3</v>
      </c>
      <c r="N17" s="52">
        <f>N18+N29+N30+N31</f>
        <v>117408</v>
      </c>
      <c r="O17" s="52">
        <f>O18+O29+O30+O31</f>
        <v>47593</v>
      </c>
      <c r="P17" s="52">
        <f>P18+P29+P30+P31</f>
        <v>165001</v>
      </c>
      <c r="Q17" s="29"/>
      <c r="R17" s="29"/>
      <c r="S17" s="41" t="s">
        <v>111</v>
      </c>
    </row>
    <row r="18" spans="1:19" ht="30" customHeight="1" x14ac:dyDescent="0.5">
      <c r="A18" s="22"/>
      <c r="B18" s="7" t="s">
        <v>204</v>
      </c>
      <c r="C18" s="10"/>
      <c r="D18" s="52">
        <f t="shared" ref="D18:K18" si="3">D19+D25</f>
        <v>9251</v>
      </c>
      <c r="E18" s="52">
        <f t="shared" si="3"/>
        <v>3881</v>
      </c>
      <c r="F18" s="52">
        <f t="shared" si="3"/>
        <v>13132</v>
      </c>
      <c r="G18" s="52">
        <f t="shared" si="3"/>
        <v>12144</v>
      </c>
      <c r="H18" s="52">
        <f t="shared" si="3"/>
        <v>514</v>
      </c>
      <c r="I18" s="52">
        <f t="shared" si="3"/>
        <v>12658</v>
      </c>
      <c r="J18" s="52">
        <f t="shared" si="3"/>
        <v>136753</v>
      </c>
      <c r="K18" s="52">
        <f t="shared" si="3"/>
        <v>33562</v>
      </c>
      <c r="L18" s="52">
        <f>J18+K18</f>
        <v>170315</v>
      </c>
      <c r="M18" s="67">
        <f t="shared" si="2"/>
        <v>6.6</v>
      </c>
      <c r="N18" s="52">
        <f>N19+N25</f>
        <v>114499</v>
      </c>
      <c r="O18" s="52">
        <f>O19+O25</f>
        <v>45325</v>
      </c>
      <c r="P18" s="52">
        <f>P19+P25</f>
        <v>159824</v>
      </c>
      <c r="Q18" s="39"/>
      <c r="R18" s="36" t="s">
        <v>205</v>
      </c>
      <c r="S18" s="41"/>
    </row>
    <row r="19" spans="1:19" ht="30" customHeight="1" x14ac:dyDescent="0.5">
      <c r="A19" s="22"/>
      <c r="B19" s="8"/>
      <c r="C19" t="s">
        <v>206</v>
      </c>
      <c r="D19" s="52">
        <f t="shared" ref="D19:L19" si="4">SUM(D20:D24)</f>
        <v>8641</v>
      </c>
      <c r="E19" s="52">
        <f t="shared" si="4"/>
        <v>3722</v>
      </c>
      <c r="F19" s="52">
        <f t="shared" si="4"/>
        <v>12363</v>
      </c>
      <c r="G19" s="52">
        <f t="shared" si="4"/>
        <v>11546</v>
      </c>
      <c r="H19" s="52">
        <f t="shared" si="4"/>
        <v>467</v>
      </c>
      <c r="I19" s="52">
        <f t="shared" si="4"/>
        <v>12013</v>
      </c>
      <c r="J19" s="52">
        <f t="shared" si="4"/>
        <v>129495</v>
      </c>
      <c r="K19" s="52">
        <f t="shared" si="4"/>
        <v>31109</v>
      </c>
      <c r="L19" s="52">
        <f t="shared" si="4"/>
        <v>160604</v>
      </c>
      <c r="M19" s="67">
        <f t="shared" si="2"/>
        <v>7.5</v>
      </c>
      <c r="N19" s="52">
        <f>SUM(N20:N24)</f>
        <v>107509</v>
      </c>
      <c r="O19" s="52">
        <f>SUM(O20:O24)</f>
        <v>41902</v>
      </c>
      <c r="P19" s="52">
        <f>SUM(P20:P24)</f>
        <v>149411</v>
      </c>
      <c r="Q19" s="29" t="s">
        <v>115</v>
      </c>
      <c r="R19" s="38"/>
      <c r="S19" s="41"/>
    </row>
    <row r="20" spans="1:19" ht="30" customHeight="1" x14ac:dyDescent="0.5">
      <c r="A20" s="22"/>
      <c r="B20" s="8"/>
      <c r="C20" s="7" t="s">
        <v>116</v>
      </c>
      <c r="D20" s="53">
        <f>INDEX(Sweet!I39:'Sweet'!I50,MATCH(9.99999999999999E+307,Sweet!I39:'Sweet'!I50)-1)-INDEX(ProdExpSweet!B5:'ProdExpSweet'!B16,MATCH(9.99999999999999E+307,ProdExpSweet!B5:'ProdExpSweet'!B16)-1)</f>
        <v>517</v>
      </c>
      <c r="E20" s="53">
        <f>INDEX(Bitter!I39:'Bitter'!I50,MATCH(9.99999999999999E+307,Bitter!I39:'Bitter'!I50)-1)-INDEX(ProdExpBitter!B5:'ProdExpBitter'!B16,MATCH(9.99999999999999E+307,ProdExpBitter!B5:'ProdExpBitter'!B16)-1)</f>
        <v>424</v>
      </c>
      <c r="F20" s="53">
        <f>D20+E20</f>
        <v>941</v>
      </c>
      <c r="G20" s="53">
        <f>INDEX(Sweet!I39:'Sweet'!I50,MATCH(9.99999999999999E+307,Sweet!I39:'Sweet'!I50))-INDEX(ProdExpSweet!B5:'ProdExpSweet'!B16,MATCH(9.99999999999999E+307,ProdExpSweet!B5:'ProdExpSweet'!B16))</f>
        <v>633</v>
      </c>
      <c r="H20" s="53">
        <f>INDEX(Bitter!I39:'Bitter'!I50,MATCH(9.99999999999999E+307,Bitter!I39:'Bitter'!I50))-INDEX(ProdExpBitter!B5:'ProdExpBitter'!B16,MATCH(9.99999999999999E+307,ProdExpBitter!B5:'ProdExpBitter'!B16))</f>
        <v>275</v>
      </c>
      <c r="I20" s="53">
        <f>G20+H20</f>
        <v>908</v>
      </c>
      <c r="J20" s="53">
        <f>Langstaat!AN20</f>
        <v>3614</v>
      </c>
      <c r="K20" s="53">
        <f>Langstaat!AO20</f>
        <v>8092</v>
      </c>
      <c r="L20" s="53">
        <f t="shared" ref="L20:L31" si="5">J20+K20</f>
        <v>11706</v>
      </c>
      <c r="M20" s="69">
        <f t="shared" si="2"/>
        <v>5.4</v>
      </c>
      <c r="N20" s="53">
        <f>Sweet!I67 - ProdExpSweet!B36</f>
        <v>246</v>
      </c>
      <c r="O20" s="53">
        <f>Bitter!I67 - ProdExpBitter!B36</f>
        <v>10859</v>
      </c>
      <c r="P20" s="53">
        <f>N20+O20</f>
        <v>11105</v>
      </c>
      <c r="Q20" s="36" t="s">
        <v>117</v>
      </c>
      <c r="R20" s="38"/>
      <c r="S20" s="41"/>
    </row>
    <row r="21" spans="1:19" ht="30" customHeight="1" x14ac:dyDescent="0.5">
      <c r="A21" s="22"/>
      <c r="B21" s="8"/>
      <c r="C21" s="8" t="s">
        <v>118</v>
      </c>
      <c r="D21" s="55">
        <f>INDEX(Sweet!J39:'Sweet'!J50,MATCH(9.99999999999999E+307,Sweet!J39:'Sweet'!J50)-1)-INDEX(ProdExpSweet!C5:'ProdExpSweet'!C16,MATCH(9.99999999999999E+307,ProdExpSweet!C5:'ProdExpSweet'!C16)-1)</f>
        <v>1173</v>
      </c>
      <c r="E21" s="55">
        <f>INDEX(Bitter!J39:'Bitter'!J50,MATCH(9.99999999999999E+307,Bitter!J39:'Bitter'!J50)-1)-INDEX(ProdExpBitter!C5:'ProdExpBitter'!C16,MATCH(9.99999999999999E+307,ProdExpBitter!C5:'ProdExpBitter'!C16)-1)</f>
        <v>3298</v>
      </c>
      <c r="F21" s="55">
        <f>D21+E21</f>
        <v>4471</v>
      </c>
      <c r="G21" s="55">
        <f>INDEX(Sweet!J39:'Sweet'!J50,MATCH(9.99999999999999E+307,Sweet!J39:'Sweet'!J50))-INDEX(ProdExpSweet!C5:'ProdExpSweet'!C16,MATCH(9.99999999999999E+307,ProdExpSweet!C5:'ProdExpSweet'!C16))</f>
        <v>3735</v>
      </c>
      <c r="H21" s="55">
        <f>INDEX(Bitter!J39:'Bitter'!J50,MATCH(9.99999999999999E+307,Bitter!J39:'Bitter'!J50))-INDEX(ProdExpBitter!C5:'ProdExpBitter'!C16,MATCH(9.99999999999999E+307,ProdExpBitter!C5:'ProdExpBitter'!C16))</f>
        <v>192</v>
      </c>
      <c r="I21" s="55">
        <f>G21+H21</f>
        <v>3927</v>
      </c>
      <c r="J21" s="55">
        <f>Langstaat!AN21</f>
        <v>28518</v>
      </c>
      <c r="K21" s="55">
        <f>Langstaat!AO21</f>
        <v>22508</v>
      </c>
      <c r="L21" s="55">
        <f t="shared" si="5"/>
        <v>51026</v>
      </c>
      <c r="M21" s="71">
        <f t="shared" si="2"/>
        <v>1.5</v>
      </c>
      <c r="N21" s="55">
        <f>Sweet!J67 - ProdExpSweet!C36</f>
        <v>20041</v>
      </c>
      <c r="O21" s="55">
        <f>Bitter!J67 - ProdExpBitter!C36</f>
        <v>30224</v>
      </c>
      <c r="P21" s="55">
        <f>N21+O21</f>
        <v>50265</v>
      </c>
      <c r="Q21" s="38" t="s">
        <v>119</v>
      </c>
      <c r="R21" s="38"/>
      <c r="S21" s="41"/>
    </row>
    <row r="22" spans="1:19" ht="30" customHeight="1" x14ac:dyDescent="0.5">
      <c r="A22" s="22"/>
      <c r="B22" s="8"/>
      <c r="C22" s="8" t="s">
        <v>120</v>
      </c>
      <c r="D22" s="55">
        <f>INDEX(Sweet!K39:'Sweet'!K50,MATCH(9.99999999999999E+307,Sweet!K39:'Sweet'!K50)-1)-INDEX(ProdExpSweet!D5:'ProdExpSweet'!D16,MATCH(9.99999999999999E+307,ProdExpSweet!D5:'ProdExpSweet'!D16)-1)</f>
        <v>6951</v>
      </c>
      <c r="E22" s="55">
        <f>INDEX(Bitter!K39:'Bitter'!K50,MATCH(9.99999999999999E+307,Bitter!K39:'Bitter'!K50)-1)-INDEX(ProdExpBitter!D5:'ProdExpBitter'!D16,MATCH(9.99999999999999E+307,ProdExpBitter!D5:'ProdExpBitter'!D16)-1)</f>
        <v>0</v>
      </c>
      <c r="F22" s="55">
        <f>D22+E22</f>
        <v>6951</v>
      </c>
      <c r="G22" s="55">
        <f>INDEX(Sweet!K39:'Sweet'!K50,MATCH(9.99999999999999E+307,Sweet!K39:'Sweet'!K50))-INDEX(ProdExpSweet!D5:'ProdExpSweet'!D16,MATCH(9.99999999999999E+307,ProdExpSweet!D5:'ProdExpSweet'!D16))</f>
        <v>7178</v>
      </c>
      <c r="H22" s="55">
        <f>INDEX(Bitter!K39:'Bitter'!K50,MATCH(9.99999999999999E+307,Bitter!K39:'Bitter'!K50))-INDEX(ProdExpBitter!D5:'ProdExpBitter'!D16,MATCH(9.99999999999999E+307,ProdExpBitter!D5:'ProdExpBitter'!D16))</f>
        <v>0</v>
      </c>
      <c r="I22" s="55">
        <f>G22+H22</f>
        <v>7178</v>
      </c>
      <c r="J22" s="55">
        <f>Langstaat!AN22</f>
        <v>97363</v>
      </c>
      <c r="K22" s="55">
        <f>Langstaat!AO22</f>
        <v>509</v>
      </c>
      <c r="L22" s="55">
        <f t="shared" si="5"/>
        <v>97872</v>
      </c>
      <c r="M22" s="71">
        <f t="shared" si="2"/>
        <v>11.2</v>
      </c>
      <c r="N22" s="55">
        <f>Sweet!K67 - ProdExpSweet!D36</f>
        <v>87222</v>
      </c>
      <c r="O22" s="55">
        <f>Bitter!K67 - ProdExpBitter!D36</f>
        <v>819</v>
      </c>
      <c r="P22" s="55">
        <f>N22+O22</f>
        <v>88041</v>
      </c>
      <c r="Q22" s="38" t="s">
        <v>121</v>
      </c>
      <c r="R22" s="38"/>
      <c r="S22" s="41"/>
    </row>
    <row r="23" spans="1:19" ht="30" customHeight="1" x14ac:dyDescent="0.5">
      <c r="A23" s="22"/>
      <c r="B23" s="8"/>
      <c r="C23" s="8" t="s">
        <v>207</v>
      </c>
      <c r="D23" s="55">
        <f>INDEX(Sweet!L39:'Sweet'!L50,MATCH(9.99999999999999E+307,Sweet!L39:'Sweet'!L50)-1)-INDEX(ProdExpSweet!E5:'ProdExpSweet'!E16,MATCH(9.99999999999999E+307,ProdExpSweet!E5:'ProdExpSweet'!E16)-1)</f>
        <v>0</v>
      </c>
      <c r="E23" s="55">
        <f>INDEX(Bitter!L39:'Bitter'!L50,MATCH(9.99999999999999E+307,Bitter!L39:'Bitter'!L50)-1)-INDEX(ProdExpBitter!E5:'ProdExpBitter'!E16,MATCH(9.99999999999999E+307,ProdExpBitter!E5:'ProdExpBitter'!E16)-1)</f>
        <v>0</v>
      </c>
      <c r="F23" s="55">
        <f>D23+E23</f>
        <v>0</v>
      </c>
      <c r="G23" s="55">
        <f>INDEX(Sweet!L39:'Sweet'!L50,MATCH(9.99999999999999E+307,Sweet!L39:'Sweet'!L50))-INDEX(ProdExpSweet!E5:'ProdExpSweet'!E16,MATCH(9.99999999999999E+307,ProdExpSweet!E5:'ProdExpSweet'!E16))</f>
        <v>0</v>
      </c>
      <c r="H23" s="55">
        <f>INDEX(Bitter!L39:'Bitter'!L50,MATCH(9.99999999999999E+307,Bitter!L39:'Bitter'!L50))-INDEX(ProdExpBitter!E5:'ProdExpBitter'!E16,MATCH(9.99999999999999E+307,ProdExpBitter!E5:'ProdExpBitter'!E16))</f>
        <v>0</v>
      </c>
      <c r="I23" s="55">
        <f>G23+H23</f>
        <v>0</v>
      </c>
      <c r="J23" s="55">
        <f>Langstaat!AN23</f>
        <v>0</v>
      </c>
      <c r="K23" s="55">
        <f>Langstaat!AO23</f>
        <v>0</v>
      </c>
      <c r="L23" s="55">
        <f t="shared" si="5"/>
        <v>0</v>
      </c>
      <c r="M23" s="71">
        <f t="shared" si="2"/>
        <v>0</v>
      </c>
      <c r="N23" s="55">
        <f>Sweet!L67 - ProdExpSweet!E36</f>
        <v>0</v>
      </c>
      <c r="O23" s="55">
        <f>Bitter!L67 - ProdExpBitter!E36</f>
        <v>0</v>
      </c>
      <c r="P23" s="55">
        <f>N23+O23</f>
        <v>0</v>
      </c>
      <c r="Q23" s="38" t="s">
        <v>123</v>
      </c>
      <c r="R23" s="38"/>
      <c r="S23" s="41"/>
    </row>
    <row r="24" spans="1:19" ht="30" customHeight="1" x14ac:dyDescent="0.5">
      <c r="A24" s="22"/>
      <c r="B24" s="8"/>
      <c r="C24" s="9" t="s">
        <v>208</v>
      </c>
      <c r="D24" s="54">
        <f>INDEX(Sweet!M39:'Sweet'!M50,MATCH(9.99999999999999E+307,Sweet!M39:'Sweet'!M50)-1)-INDEX(ProdExpSweet!F5:'ProdExpSweet'!F16,MATCH(9.99999999999999E+307,ProdExpSweet!F5:'ProdExpSweet'!F16)-1)</f>
        <v>0</v>
      </c>
      <c r="E24" s="54">
        <f>INDEX(Bitter!M39:'Bitter'!M50,MATCH(9.99999999999999E+307,Bitter!M39:'Bitter'!M50)-1)-INDEX(ProdExpBitter!F5:'ProdExpBitter'!F16,MATCH(9.99999999999999E+307,ProdExpBitter!F5:'ProdExpBitter'!F16)-1)</f>
        <v>0</v>
      </c>
      <c r="F24" s="54">
        <f>D24+E24</f>
        <v>0</v>
      </c>
      <c r="G24" s="54">
        <f>INDEX(Sweet!M39:'Sweet'!M50,MATCH(9.99999999999999E+307,Sweet!M39:'Sweet'!M50))-INDEX(ProdExpSweet!F5:'ProdExpSweet'!F16,MATCH(9.99999999999999E+307,ProdExpSweet!F5:'ProdExpSweet'!F16))</f>
        <v>0</v>
      </c>
      <c r="H24" s="54">
        <f>INDEX(Bitter!M39:'Bitter'!M50,MATCH(9.99999999999999E+307,Bitter!M39:'Bitter'!M50))-INDEX(ProdExpBitter!F5:'ProdExpBitter'!F16,MATCH(9.99999999999999E+307,ProdExpBitter!F5:'ProdExpBitter'!F16))</f>
        <v>0</v>
      </c>
      <c r="I24" s="54">
        <f>G24+H24</f>
        <v>0</v>
      </c>
      <c r="J24" s="54">
        <f>Langstaat!AN24</f>
        <v>0</v>
      </c>
      <c r="K24" s="54">
        <f>Langstaat!AO24</f>
        <v>0</v>
      </c>
      <c r="L24" s="54">
        <f t="shared" si="5"/>
        <v>0</v>
      </c>
      <c r="M24" s="70">
        <f t="shared" si="2"/>
        <v>0</v>
      </c>
      <c r="N24" s="54">
        <f>Sweet!M67 - ProdExpSweet!F36</f>
        <v>0</v>
      </c>
      <c r="O24" s="54">
        <f>Bitter!M67 - ProdExpBitter!F36</f>
        <v>0</v>
      </c>
      <c r="P24" s="54">
        <f>N24+O24</f>
        <v>0</v>
      </c>
      <c r="Q24" s="37" t="s">
        <v>125</v>
      </c>
      <c r="R24" s="38"/>
      <c r="S24" s="41"/>
    </row>
    <row r="25" spans="1:19" ht="30" customHeight="1" x14ac:dyDescent="0.5">
      <c r="A25" s="22"/>
      <c r="B25" s="8"/>
      <c r="C25" t="s">
        <v>126</v>
      </c>
      <c r="D25" s="52">
        <f t="shared" ref="D25:K25" si="6">SUM(D26:D28)</f>
        <v>610</v>
      </c>
      <c r="E25" s="52">
        <f t="shared" si="6"/>
        <v>159</v>
      </c>
      <c r="F25" s="52">
        <f t="shared" si="6"/>
        <v>769</v>
      </c>
      <c r="G25" s="52">
        <f t="shared" si="6"/>
        <v>598</v>
      </c>
      <c r="H25" s="52">
        <f t="shared" si="6"/>
        <v>47</v>
      </c>
      <c r="I25" s="52">
        <f t="shared" si="6"/>
        <v>645</v>
      </c>
      <c r="J25" s="52">
        <f t="shared" si="6"/>
        <v>7258</v>
      </c>
      <c r="K25" s="52">
        <f t="shared" si="6"/>
        <v>2453</v>
      </c>
      <c r="L25" s="52">
        <f t="shared" si="5"/>
        <v>9711</v>
      </c>
      <c r="M25" s="67">
        <f t="shared" si="2"/>
        <v>-6.7</v>
      </c>
      <c r="N25" s="52">
        <f>SUM(N26:N28)</f>
        <v>6990</v>
      </c>
      <c r="O25" s="52">
        <f>SUM(O26:O28)</f>
        <v>3423</v>
      </c>
      <c r="P25" s="52">
        <f>SUM(P26:P28)</f>
        <v>10413</v>
      </c>
      <c r="Q25" s="29" t="s">
        <v>127</v>
      </c>
      <c r="R25" s="38"/>
      <c r="S25" s="41"/>
    </row>
    <row r="26" spans="1:19" ht="30" customHeight="1" x14ac:dyDescent="0.5">
      <c r="A26" s="22"/>
      <c r="B26" s="8"/>
      <c r="C26" s="7" t="s">
        <v>128</v>
      </c>
      <c r="D26" s="53">
        <f>INDEX(Sweet!N39:'Sweet'!N50,MATCH(9.99999999999999E+307,Sweet!N39:'Sweet'!N50)-1)-INDEX(ProdExpSweet!G5:'ProdExpSweet'!G16,MATCH(9.99999999999999E+307,ProdExpSweet!G5:'ProdExpSweet'!G16)-1)</f>
        <v>72</v>
      </c>
      <c r="E26" s="53">
        <f>INDEX(Bitter!N39:'Bitter'!N50,MATCH(9.99999999999999E+307,Bitter!N39:'Bitter'!N50)-1)-INDEX(ProdExpBitter!G5:'ProdExpBitter'!G16,MATCH(9.99999999999999E+307,ProdExpBitter!G5:'ProdExpBitter'!G16)-1)</f>
        <v>0</v>
      </c>
      <c r="F26" s="53">
        <f t="shared" ref="F26:F31" si="7">D26+E26</f>
        <v>72</v>
      </c>
      <c r="G26" s="53">
        <f>INDEX(Sweet!N39:'Sweet'!N50,MATCH(9.99999999999999E+307,Sweet!N39:'Sweet'!N50))-INDEX(ProdExpSweet!G5:'ProdExpSweet'!G16,MATCH(9.99999999999999E+307,ProdExpSweet!G5:'ProdExpSweet'!G16))</f>
        <v>62</v>
      </c>
      <c r="H26" s="53">
        <f>INDEX(Bitter!N39:'Bitter'!N50,MATCH(9.99999999999999E+307,Bitter!N39:'Bitter'!N50))-INDEX(ProdExpBitter!G5:'ProdExpBitter'!G16,MATCH(9.99999999999999E+307,ProdExpBitter!G5:'ProdExpBitter'!G16))</f>
        <v>0</v>
      </c>
      <c r="I26" s="53">
        <f t="shared" ref="I26:I31" si="8">G26+H26</f>
        <v>62</v>
      </c>
      <c r="J26" s="53">
        <f>Langstaat!AN26</f>
        <v>937</v>
      </c>
      <c r="K26" s="53">
        <f>Langstaat!AO26</f>
        <v>64</v>
      </c>
      <c r="L26" s="53">
        <f t="shared" si="5"/>
        <v>1001</v>
      </c>
      <c r="M26" s="69">
        <f t="shared" si="2"/>
        <v>-2.7</v>
      </c>
      <c r="N26" s="53">
        <f>Sweet!N67 - ProdExpSweet!G36</f>
        <v>1029</v>
      </c>
      <c r="O26" s="53">
        <f>Bitter!N67 - ProdExpBitter!G36</f>
        <v>0</v>
      </c>
      <c r="P26" s="53">
        <f t="shared" ref="P26:P31" si="9">N26+O26</f>
        <v>1029</v>
      </c>
      <c r="Q26" s="36" t="s">
        <v>129</v>
      </c>
      <c r="R26" s="38"/>
      <c r="S26" s="41"/>
    </row>
    <row r="27" spans="1:19" ht="30" customHeight="1" x14ac:dyDescent="0.5">
      <c r="A27" s="22"/>
      <c r="B27" s="8"/>
      <c r="C27" s="8" t="s">
        <v>209</v>
      </c>
      <c r="D27" s="55">
        <f>INDEX(Sweet!O39:'Sweet'!O50,MATCH(9.99999999999999E+307,Sweet!O39:'Sweet'!O50)-1)-INDEX(ProdExpSweet!H5:'ProdExpSweet'!H16,MATCH(9.99999999999999E+307,ProdExpSweet!H5:'ProdExpSweet'!H16)-1)</f>
        <v>298</v>
      </c>
      <c r="E27" s="55">
        <f>INDEX(Bitter!O39:'Bitter'!O50,MATCH(9.99999999999999E+307,Bitter!O39:'Bitter'!O50)-1)-INDEX(ProdExpBitter!H5:'ProdExpBitter'!H16,MATCH(9.99999999999999E+307,ProdExpBitter!H5:'ProdExpBitter'!H16)-1)</f>
        <v>3</v>
      </c>
      <c r="F27" s="55">
        <f t="shared" si="7"/>
        <v>301</v>
      </c>
      <c r="G27" s="55">
        <f>INDEX(Sweet!O39:'Sweet'!O50,MATCH(9.99999999999999E+307,Sweet!O39:'Sweet'!O50))-INDEX(ProdExpSweet!H5:'ProdExpSweet'!H16,MATCH(9.99999999999999E+307,ProdExpSweet!H5:'ProdExpSweet'!H16))</f>
        <v>337</v>
      </c>
      <c r="H27" s="55">
        <f>INDEX(Bitter!O39:'Bitter'!O50,MATCH(9.99999999999999E+307,Bitter!O39:'Bitter'!O50))-INDEX(ProdExpBitter!H5:'ProdExpBitter'!H16,MATCH(9.99999999999999E+307,ProdExpBitter!H5:'ProdExpBitter'!H16))</f>
        <v>45</v>
      </c>
      <c r="I27" s="55">
        <f t="shared" si="8"/>
        <v>382</v>
      </c>
      <c r="J27" s="55">
        <f>Langstaat!AN27</f>
        <v>3227</v>
      </c>
      <c r="K27" s="55">
        <f>Langstaat!AO27</f>
        <v>760</v>
      </c>
      <c r="L27" s="55">
        <f t="shared" si="5"/>
        <v>3987</v>
      </c>
      <c r="M27" s="71">
        <f t="shared" si="2"/>
        <v>1</v>
      </c>
      <c r="N27" s="55">
        <f>Sweet!O67 - ProdExpSweet!H36</f>
        <v>2714</v>
      </c>
      <c r="O27" s="55">
        <f>Bitter!O67 - ProdExpBitter!H36</f>
        <v>1234</v>
      </c>
      <c r="P27" s="55">
        <f t="shared" si="9"/>
        <v>3948</v>
      </c>
      <c r="Q27" s="38" t="s">
        <v>131</v>
      </c>
      <c r="R27" s="38"/>
      <c r="S27" s="41"/>
    </row>
    <row r="28" spans="1:19" ht="30" customHeight="1" x14ac:dyDescent="0.5">
      <c r="A28" s="22"/>
      <c r="B28" s="8"/>
      <c r="C28" s="9" t="s">
        <v>210</v>
      </c>
      <c r="D28" s="54">
        <f>INDEX(Sweet!P39:'Sweet'!P50,MATCH(9.99999999999999E+307,Sweet!P39:'Sweet'!P50)-1)-INDEX(ProdExpSweet!I5:'ProdExpSweet'!I16,MATCH(9.99999999999999E+307,ProdExpSweet!I5:'ProdExpSweet'!I16)-1) + INDEX(Sweet!Z39:'Sweet'!Z50,MATCH(9.99999999999999E+307,Sweet!Z39:'Sweet'!Z50)-1)</f>
        <v>240</v>
      </c>
      <c r="E28" s="54">
        <f>INDEX(Bitter!P39:'Bitter'!P50,MATCH(9.99999999999999E+307,Bitter!P39:'Bitter'!P50)-1)-INDEX(ProdExpBitter!I5:'ProdExpBitter'!I16,MATCH(9.99999999999999E+307,ProdExpBitter!I5:'ProdExpBitter'!I16)-1) + INDEX(Bitter!Z39:'Bitter'!Z50,MATCH(9.99999999999999E+307,Bitter!Z39:'Bitter'!Z50)-1)</f>
        <v>156</v>
      </c>
      <c r="F28" s="54">
        <f t="shared" si="7"/>
        <v>396</v>
      </c>
      <c r="G28" s="54">
        <f>INDEX(Sweet!P39:'Sweet'!P50,MATCH(9.99999999999999E+307,Sweet!P39:'Sweet'!P50))-INDEX(ProdExpSweet!I5:'ProdExpSweet'!I16,MATCH(9.99999999999999E+307,ProdExpSweet!I5:'ProdExpSweet'!I16)) + INDEX(Sweet!Z39:'Sweet'!Z50,MATCH(9.99999999999999E+307,Sweet!Z39:'Sweet'!Z50))</f>
        <v>199</v>
      </c>
      <c r="H28" s="54">
        <f>INDEX(Bitter!P39:'Bitter'!P50,MATCH(9.99999999999999E+307,Bitter!P39:'Bitter'!P50))-INDEX(ProdExpBitter!I5:'ProdExpBitter'!I16,MATCH(9.99999999999999E+307,ProdExpBitter!I5:'ProdExpBitter'!I16)) + INDEX(Bitter!Z39:'Bitter'!Z50,MATCH(9.99999999999999E+307,Bitter!Z39:'Bitter'!Z50))</f>
        <v>2</v>
      </c>
      <c r="I28" s="54">
        <f t="shared" si="8"/>
        <v>201</v>
      </c>
      <c r="J28" s="54">
        <f>Langstaat!AN28</f>
        <v>3094</v>
      </c>
      <c r="K28" s="54">
        <f>Langstaat!AO28</f>
        <v>1629</v>
      </c>
      <c r="L28" s="54">
        <f t="shared" si="5"/>
        <v>4723</v>
      </c>
      <c r="M28" s="70">
        <f t="shared" si="2"/>
        <v>-13.1</v>
      </c>
      <c r="N28" s="54">
        <f>Sweet!P67 - ProdExpSweet!I36 + Sweet!Z67</f>
        <v>3247</v>
      </c>
      <c r="O28" s="54">
        <f>Bitter!P67 - ProdExpBitter!I36 + Bitter!Z67</f>
        <v>2189</v>
      </c>
      <c r="P28" s="54">
        <f t="shared" si="9"/>
        <v>5436</v>
      </c>
      <c r="Q28" s="37" t="s">
        <v>133</v>
      </c>
      <c r="R28" s="38"/>
      <c r="S28" s="41"/>
    </row>
    <row r="29" spans="1:19" ht="30" customHeight="1" x14ac:dyDescent="0.5">
      <c r="A29" s="22"/>
      <c r="B29" s="8" t="s">
        <v>18</v>
      </c>
      <c r="D29" s="53">
        <f>INDEX(Sweet!Q39:'Sweet'!Q50,MATCH(9.99999999999999E+307,Sweet!Q39:'Sweet'!Q50)-1)-INDEX(ProdExpSweet!J5:'ProdExpSweet'!J16,MATCH(9.99999999999999E+307,ProdExpSweet!J5:'ProdExpSweet'!J16)-1)</f>
        <v>0</v>
      </c>
      <c r="E29" s="53">
        <f>INDEX(Bitter!Q39:'Bitter'!Q50,MATCH(9.99999999999999E+307,Bitter!Q39:'Bitter'!Q50)-1)-INDEX(ProdExpBitter!J5:'ProdExpBitter'!J16,MATCH(9.99999999999999E+307,ProdExpBitter!J5:'ProdExpBitter'!J16)-1)</f>
        <v>0</v>
      </c>
      <c r="F29" s="53">
        <f t="shared" si="7"/>
        <v>0</v>
      </c>
      <c r="G29" s="53">
        <f>INDEX(Sweet!Q39:'Sweet'!Q50,MATCH(9.99999999999999E+307,Sweet!Q39:'Sweet'!Q50))-INDEX(ProdExpSweet!J5:'ProdExpSweet'!J16,MATCH(9.99999999999999E+307,ProdExpSweet!J5:'ProdExpSweet'!J16))</f>
        <v>0</v>
      </c>
      <c r="H29" s="53">
        <f>INDEX(Bitter!Q39:'Bitter'!Q50,MATCH(9.99999999999999E+307,Bitter!Q39:'Bitter'!Q50))-INDEX(ProdExpBitter!J5:'ProdExpBitter'!J16,MATCH(9.99999999999999E+307,ProdExpBitter!J5:'ProdExpBitter'!J16))</f>
        <v>0</v>
      </c>
      <c r="I29" s="53">
        <f t="shared" si="8"/>
        <v>0</v>
      </c>
      <c r="J29" s="53">
        <f>Langstaat!AN29</f>
        <v>0</v>
      </c>
      <c r="K29" s="53">
        <f>Langstaat!AO29</f>
        <v>0</v>
      </c>
      <c r="L29" s="53">
        <f t="shared" si="5"/>
        <v>0</v>
      </c>
      <c r="M29" s="69">
        <f t="shared" si="2"/>
        <v>0</v>
      </c>
      <c r="N29" s="53">
        <f>Sweet!Q67 - ProdExpSweet!J36</f>
        <v>0</v>
      </c>
      <c r="O29" s="53">
        <f>Bitter!Q67 - ProdExpBitter!J36</f>
        <v>0</v>
      </c>
      <c r="P29" s="53">
        <f t="shared" si="9"/>
        <v>0</v>
      </c>
      <c r="Q29" s="29"/>
      <c r="R29" s="38" t="s">
        <v>135</v>
      </c>
      <c r="S29" s="41"/>
    </row>
    <row r="30" spans="1:19" ht="30" customHeight="1" x14ac:dyDescent="0.5">
      <c r="A30" s="22"/>
      <c r="B30" s="8" t="s">
        <v>136</v>
      </c>
      <c r="D30" s="55">
        <f>INDEX(Sweet!T39:'Sweet'!T50,MATCH(9.99999999999999E+307,Sweet!T39:'Sweet'!T50)-1)</f>
        <v>32</v>
      </c>
      <c r="E30" s="55">
        <f>INDEX(Bitter!T39:'Bitter'!T50,MATCH(9.99999999999999E+307,Bitter!T39:'Bitter'!T50)-1)</f>
        <v>0</v>
      </c>
      <c r="F30" s="55">
        <f t="shared" si="7"/>
        <v>32</v>
      </c>
      <c r="G30" s="55">
        <f>INDEX(Sweet!T39:'Sweet'!T50,MATCH(9.99999999999999E+307,Sweet!T39:'Sweet'!T50))</f>
        <v>0</v>
      </c>
      <c r="H30" s="55">
        <f>INDEX(Bitter!T39:'Bitter'!T50,MATCH(9.99999999999999E+307,Bitter!T39:'Bitter'!T50))</f>
        <v>0</v>
      </c>
      <c r="I30" s="55">
        <f t="shared" si="8"/>
        <v>0</v>
      </c>
      <c r="J30" s="55">
        <f>Langstaat!AN30</f>
        <v>181</v>
      </c>
      <c r="K30" s="55">
        <f>Langstaat!AO30</f>
        <v>463</v>
      </c>
      <c r="L30" s="55">
        <f t="shared" si="5"/>
        <v>644</v>
      </c>
      <c r="M30" s="71">
        <f t="shared" si="2"/>
        <v>-74.900000000000006</v>
      </c>
      <c r="N30" s="55">
        <f>Sweet!T67</f>
        <v>987</v>
      </c>
      <c r="O30" s="55">
        <f>Bitter!T67</f>
        <v>1582</v>
      </c>
      <c r="P30" s="55">
        <f t="shared" si="9"/>
        <v>2569</v>
      </c>
      <c r="Q30" s="29"/>
      <c r="R30" s="38" t="s">
        <v>137</v>
      </c>
      <c r="S30" s="41"/>
    </row>
    <row r="31" spans="1:19" ht="30" customHeight="1" x14ac:dyDescent="0.5">
      <c r="A31" s="22"/>
      <c r="B31" s="9" t="s">
        <v>138</v>
      </c>
      <c r="C31" s="11"/>
      <c r="D31" s="54">
        <f>INDEX(Sweet!U39:'Sweet'!U50,MATCH(9.99999999999999E+307,Sweet!U39:'Sweet'!U50)-1)</f>
        <v>45</v>
      </c>
      <c r="E31" s="54">
        <f>INDEX(Bitter!U39:'Bitter'!U50,MATCH(9.99999999999999E+307,Bitter!U39:'Bitter'!U50)-1)</f>
        <v>0</v>
      </c>
      <c r="F31" s="54">
        <f t="shared" si="7"/>
        <v>45</v>
      </c>
      <c r="G31" s="54">
        <f>INDEX(Sweet!U39:'Sweet'!U50,MATCH(9.99999999999999E+307,Sweet!U39:'Sweet'!U50))</f>
        <v>72</v>
      </c>
      <c r="H31" s="54">
        <f>INDEX(Bitter!U39:'Bitter'!U50,MATCH(9.99999999999999E+307,Bitter!U39:'Bitter'!U50))</f>
        <v>0</v>
      </c>
      <c r="I31" s="54">
        <f t="shared" si="8"/>
        <v>72</v>
      </c>
      <c r="J31" s="54">
        <f>Langstaat!AN31</f>
        <v>1161</v>
      </c>
      <c r="K31" s="54">
        <f>Langstaat!AO31</f>
        <v>48</v>
      </c>
      <c r="L31" s="54">
        <f t="shared" si="5"/>
        <v>1209</v>
      </c>
      <c r="M31" s="70">
        <f t="shared" si="2"/>
        <v>-53.6</v>
      </c>
      <c r="N31" s="54">
        <f>Sweet!U67</f>
        <v>1922</v>
      </c>
      <c r="O31" s="54">
        <f>Bitter!U67</f>
        <v>686</v>
      </c>
      <c r="P31" s="54">
        <f t="shared" si="9"/>
        <v>2608</v>
      </c>
      <c r="Q31" s="40"/>
      <c r="R31" s="37" t="s">
        <v>139</v>
      </c>
      <c r="S31" s="41"/>
    </row>
    <row r="32" spans="1:19" ht="9.75" customHeight="1" x14ac:dyDescent="0.5">
      <c r="A32" s="22"/>
      <c r="D32" s="2"/>
      <c r="E32" s="2"/>
      <c r="F32" s="2"/>
      <c r="G32" s="2"/>
      <c r="H32" s="2"/>
      <c r="I32" s="2"/>
      <c r="J32" s="2"/>
      <c r="K32" s="2"/>
      <c r="L32" s="2"/>
      <c r="M32" s="68"/>
      <c r="N32" s="2"/>
      <c r="O32" s="2"/>
      <c r="P32" s="2"/>
      <c r="Q32" s="29"/>
      <c r="R32" s="29"/>
      <c r="S32" s="41"/>
    </row>
    <row r="33" spans="1:19" ht="30" customHeight="1" x14ac:dyDescent="0.5">
      <c r="A33" s="22" t="s">
        <v>211</v>
      </c>
      <c r="D33" s="52">
        <f t="shared" ref="D33:L33" si="10">D34+D37</f>
        <v>337</v>
      </c>
      <c r="E33" s="52">
        <f t="shared" si="10"/>
        <v>0</v>
      </c>
      <c r="F33" s="52">
        <f t="shared" si="10"/>
        <v>337</v>
      </c>
      <c r="G33" s="52">
        <f t="shared" si="10"/>
        <v>221</v>
      </c>
      <c r="H33" s="52">
        <f t="shared" si="10"/>
        <v>200</v>
      </c>
      <c r="I33" s="52">
        <f t="shared" si="10"/>
        <v>421</v>
      </c>
      <c r="J33" s="52">
        <f t="shared" si="10"/>
        <v>8369</v>
      </c>
      <c r="K33" s="52">
        <f t="shared" si="10"/>
        <v>4280</v>
      </c>
      <c r="L33" s="52">
        <f t="shared" si="10"/>
        <v>12649</v>
      </c>
      <c r="M33" s="67">
        <f t="shared" ref="M33:M39" si="11">ROUND(IFERROR((L33-P33)/P33*100,IF(L33-P33=0,0,100)),1)</f>
        <v>-56.4</v>
      </c>
      <c r="N33" s="52">
        <f>N34+N37</f>
        <v>23755</v>
      </c>
      <c r="O33" s="52">
        <f>O34+O37</f>
        <v>5284</v>
      </c>
      <c r="P33" s="52">
        <f>P34+P37</f>
        <v>29039</v>
      </c>
      <c r="Q33" s="29"/>
      <c r="R33" s="29"/>
      <c r="S33" s="41" t="s">
        <v>212</v>
      </c>
    </row>
    <row r="34" spans="1:19" ht="30" customHeight="1" x14ac:dyDescent="0.5">
      <c r="A34" s="22"/>
      <c r="B34" s="7" t="s">
        <v>213</v>
      </c>
      <c r="C34" s="10"/>
      <c r="D34" s="52">
        <f>D35+D36</f>
        <v>328</v>
      </c>
      <c r="E34" s="52">
        <f>E35+E36</f>
        <v>0</v>
      </c>
      <c r="F34" s="52">
        <f>F35+F36</f>
        <v>328</v>
      </c>
      <c r="G34" s="52">
        <f>SUM(G35:G36)</f>
        <v>116</v>
      </c>
      <c r="H34" s="52">
        <f>SUM(H35:H36)</f>
        <v>200</v>
      </c>
      <c r="I34" s="52">
        <f>SUM(I35:I36)</f>
        <v>316</v>
      </c>
      <c r="J34" s="52">
        <f>J35+J36</f>
        <v>2141</v>
      </c>
      <c r="K34" s="52">
        <f>K35+K36</f>
        <v>3066</v>
      </c>
      <c r="L34" s="52">
        <f>L35+L36</f>
        <v>5207</v>
      </c>
      <c r="M34" s="67">
        <f t="shared" si="11"/>
        <v>12.4</v>
      </c>
      <c r="N34" s="52">
        <f>N35+N36</f>
        <v>0</v>
      </c>
      <c r="O34" s="52">
        <f>O35+O36</f>
        <v>4633</v>
      </c>
      <c r="P34" s="52">
        <f>P35+P36</f>
        <v>4633</v>
      </c>
      <c r="Q34" s="39"/>
      <c r="R34" s="36" t="s">
        <v>214</v>
      </c>
      <c r="S34" s="41"/>
    </row>
    <row r="35" spans="1:19" ht="30" customHeight="1" x14ac:dyDescent="0.5">
      <c r="A35" s="22"/>
      <c r="B35" s="8"/>
      <c r="C35" s="7" t="s">
        <v>144</v>
      </c>
      <c r="D35" s="53">
        <f>INDEX(Sweet!AD39:'Sweet'!AD50,MATCH(9.99999999999999E+307,Sweet!AD39:'Sweet'!AD50)-1)</f>
        <v>328</v>
      </c>
      <c r="E35" s="53">
        <f>INDEX(Bitter!AD39:'Bitter'!AD50,MATCH(9.99999999999999E+307,Bitter!AD39:'Bitter'!AD50)-1)</f>
        <v>0</v>
      </c>
      <c r="F35" s="53">
        <f>D35+E35</f>
        <v>328</v>
      </c>
      <c r="G35" s="53">
        <f>INDEX(Sweet!AD39:'Sweet'!AD50,MATCH(9.99999999999999E+307,Sweet!AD39:'Sweet'!AD50))</f>
        <v>116</v>
      </c>
      <c r="H35" s="53">
        <f>INDEX(Bitter!AD39:'Bitter'!AD50,MATCH(9.99999999999999E+307,Bitter!AD39:'Bitter'!AD50))</f>
        <v>200</v>
      </c>
      <c r="I35" s="53">
        <f>G35+H35</f>
        <v>316</v>
      </c>
      <c r="J35" s="53">
        <f>Langstaat!AN35</f>
        <v>2141</v>
      </c>
      <c r="K35" s="53">
        <f>Langstaat!AO35</f>
        <v>3066</v>
      </c>
      <c r="L35" s="53">
        <f>J35+K35</f>
        <v>5207</v>
      </c>
      <c r="M35" s="69">
        <f t="shared" si="11"/>
        <v>12.4</v>
      </c>
      <c r="N35" s="53">
        <f>Sweet!AD67</f>
        <v>0</v>
      </c>
      <c r="O35" s="53">
        <f>Bitter!AD67</f>
        <v>4633</v>
      </c>
      <c r="P35" s="53">
        <f>N35+O35</f>
        <v>4633</v>
      </c>
      <c r="Q35" s="36" t="s">
        <v>145</v>
      </c>
      <c r="R35" s="38"/>
      <c r="S35" s="41"/>
    </row>
    <row r="36" spans="1:19" ht="30" customHeight="1" x14ac:dyDescent="0.5">
      <c r="A36" s="22"/>
      <c r="B36" s="8"/>
      <c r="C36" s="9" t="s">
        <v>146</v>
      </c>
      <c r="D36" s="54">
        <f>INDEX(Sweet!AE39:'Sweet'!AE50,MATCH(9.99999999999999E+307,Sweet!AE39:'Sweet'!AE50)-1)</f>
        <v>0</v>
      </c>
      <c r="E36" s="54">
        <f>INDEX(Bitter!AE39:'Bitter'!AE50,MATCH(9.99999999999999E+307,Bitter!AE39:'Bitter'!AE50)-1)</f>
        <v>0</v>
      </c>
      <c r="F36" s="54">
        <f>D36+E36</f>
        <v>0</v>
      </c>
      <c r="G36" s="54">
        <f>INDEX(Sweet!AE39:'Sweet'!AE50,MATCH(9.99999999999999E+307,Sweet!AE39:'Sweet'!AE50))</f>
        <v>0</v>
      </c>
      <c r="H36" s="54">
        <f>INDEX(Bitter!AE39:'Bitter'!AE50,MATCH(9.99999999999999E+307,Bitter!AE39:'Bitter'!AE50))</f>
        <v>0</v>
      </c>
      <c r="I36" s="54">
        <f>G36+H36</f>
        <v>0</v>
      </c>
      <c r="J36" s="54">
        <f>Langstaat!AN36</f>
        <v>0</v>
      </c>
      <c r="K36" s="54">
        <f>Langstaat!AO36</f>
        <v>0</v>
      </c>
      <c r="L36" s="54">
        <f>J36+K36</f>
        <v>0</v>
      </c>
      <c r="M36" s="70">
        <f t="shared" si="11"/>
        <v>0</v>
      </c>
      <c r="N36" s="54">
        <f>Sweet!AE67</f>
        <v>0</v>
      </c>
      <c r="O36" s="54">
        <f>Bitter!AE67</f>
        <v>0</v>
      </c>
      <c r="P36" s="54">
        <f>N36+O36</f>
        <v>0</v>
      </c>
      <c r="Q36" s="37" t="s">
        <v>147</v>
      </c>
      <c r="R36" s="38"/>
      <c r="S36" s="41"/>
    </row>
    <row r="37" spans="1:19" ht="30" customHeight="1" x14ac:dyDescent="0.5">
      <c r="A37" s="22"/>
      <c r="B37" s="8" t="s">
        <v>148</v>
      </c>
      <c r="D37" s="52">
        <f t="shared" ref="D37:L37" si="12">D38+D39</f>
        <v>9</v>
      </c>
      <c r="E37" s="52">
        <f t="shared" si="12"/>
        <v>0</v>
      </c>
      <c r="F37" s="52">
        <f t="shared" si="12"/>
        <v>9</v>
      </c>
      <c r="G37" s="52">
        <f t="shared" si="12"/>
        <v>105</v>
      </c>
      <c r="H37" s="52">
        <f t="shared" si="12"/>
        <v>0</v>
      </c>
      <c r="I37" s="52">
        <f t="shared" si="12"/>
        <v>105</v>
      </c>
      <c r="J37" s="52">
        <f t="shared" si="12"/>
        <v>6228</v>
      </c>
      <c r="K37" s="52">
        <f t="shared" si="12"/>
        <v>1214</v>
      </c>
      <c r="L37" s="52">
        <f t="shared" si="12"/>
        <v>7442</v>
      </c>
      <c r="M37" s="67">
        <f t="shared" si="11"/>
        <v>-69.5</v>
      </c>
      <c r="N37" s="52">
        <f>N38+N39</f>
        <v>23755</v>
      </c>
      <c r="O37" s="52">
        <f>O38+O39</f>
        <v>651</v>
      </c>
      <c r="P37" s="52">
        <f>P38+P39</f>
        <v>24406</v>
      </c>
      <c r="Q37" s="29"/>
      <c r="R37" s="38" t="s">
        <v>149</v>
      </c>
      <c r="S37" s="41"/>
    </row>
    <row r="38" spans="1:19" ht="30" customHeight="1" x14ac:dyDescent="0.5">
      <c r="A38" s="22"/>
      <c r="B38" s="8"/>
      <c r="C38" s="7" t="s">
        <v>150</v>
      </c>
      <c r="D38" s="53">
        <f>INDEX(Sweet!R39:'Sweet'!R50,MATCH(9.99999999999999E+307,Sweet!R39:'Sweet'!R50)-1)-INDEX(DeurvoerSweet!K21:'DeurvoerSweet'!K32,MATCH(9.99999999999999E+307,DeurvoerSweet!K21:'DeurvoerSweet'!K32)-1)</f>
        <v>9</v>
      </c>
      <c r="E38" s="53">
        <f>INDEX(Bitter!R39:'Bitter'!R50,MATCH(9.99999999999999E+307,Bitter!R39:'Bitter'!R50)-1)-INDEX(DeurvoerBitter!K21:'DeurvoerBitter'!K32,MATCH(9.99999999999999E+307,DeurvoerBitter!K21:'DeurvoerBitter'!K32)-1)</f>
        <v>0</v>
      </c>
      <c r="F38" s="53">
        <f>D38+E38</f>
        <v>9</v>
      </c>
      <c r="G38" s="53">
        <f>INDEX(Sweet!R39:'Sweet'!R50,MATCH(9.99999999999999E+307,Sweet!R39:'Sweet'!R50))-INDEX(DeurvoerSweet!K21:'DeurvoerSweet'!K32,MATCH(9.99999999999999E+307,DeurvoerSweet!K21:'DeurvoerSweet'!K32))</f>
        <v>105</v>
      </c>
      <c r="H38" s="53">
        <f>INDEX(Bitter!R39:'Bitter'!R50,MATCH(9.99999999999999E+307,Bitter!R39:'Bitter'!R50))-INDEX(DeurvoerBitter!K21:'DeurvoerBitter'!K32,MATCH(9.99999999999999E+307,DeurvoerBitter!K21:'DeurvoerBitter'!K32))</f>
        <v>0</v>
      </c>
      <c r="I38" s="53">
        <f>G38+H38</f>
        <v>105</v>
      </c>
      <c r="J38" s="53">
        <f>Langstaat!AN38</f>
        <v>6228</v>
      </c>
      <c r="K38" s="53">
        <f>Langstaat!AO38</f>
        <v>1214</v>
      </c>
      <c r="L38" s="53">
        <f>J38+K38</f>
        <v>7442</v>
      </c>
      <c r="M38" s="69">
        <f t="shared" si="11"/>
        <v>-69.5</v>
      </c>
      <c r="N38" s="53">
        <f>Sweet!R67 - DeurvoerSweet!C65</f>
        <v>23755</v>
      </c>
      <c r="O38" s="53">
        <f>Bitter!R67 - DeurvoerBitter!C65</f>
        <v>651</v>
      </c>
      <c r="P38" s="53">
        <f>N38+O38</f>
        <v>24406</v>
      </c>
      <c r="Q38" s="36" t="s">
        <v>151</v>
      </c>
      <c r="R38" s="38"/>
      <c r="S38" s="41"/>
    </row>
    <row r="39" spans="1:19" ht="30" customHeight="1" x14ac:dyDescent="0.5">
      <c r="A39" s="22"/>
      <c r="B39" s="9"/>
      <c r="C39" s="9" t="s">
        <v>152</v>
      </c>
      <c r="D39" s="54">
        <f>INDEX(Sweet!S39:'Sweet'!S50,MATCH(9.99999999999999E+307,Sweet!S39:'Sweet'!S50)-1)-INDEX(DeurvoerSweet!J21:'DeurvoerSweet'!J32,MATCH(9.99999999999999E+307,DeurvoerSweet!J21:'DeurvoerSweet'!J32)-1)</f>
        <v>0</v>
      </c>
      <c r="E39" s="54">
        <f>INDEX(Bitter!S39:'Bitter'!S50,MATCH(9.99999999999999E+307,Bitter!S39:'Bitter'!S50)-1)-INDEX(DeurvoerBitter!J21:'DeurvoerBitter'!J32,MATCH(9.99999999999999E+307,DeurvoerBitter!J21:'DeurvoerBitter'!J32)-1)</f>
        <v>0</v>
      </c>
      <c r="F39" s="54">
        <f>D39+E39</f>
        <v>0</v>
      </c>
      <c r="G39" s="54">
        <f>INDEX(Sweet!S39:'Sweet'!S50,MATCH(9.99999999999999E+307,Sweet!S39:'Sweet'!S50))-INDEX(DeurvoerSweet!J21:'DeurvoerSweet'!J32,MATCH(9.99999999999999E+307,DeurvoerSweet!J21:'DeurvoerSweet'!J32))</f>
        <v>0</v>
      </c>
      <c r="H39" s="54">
        <f>INDEX(Bitter!S39:'Bitter'!S50,MATCH(9.99999999999999E+307,Bitter!S39:'Bitter'!S50))-INDEX(DeurvoerBitter!J21:'DeurvoerBitter'!J32,MATCH(9.99999999999999E+307,DeurvoerBitter!J21:'DeurvoerBitter'!J32))</f>
        <v>0</v>
      </c>
      <c r="I39" s="54">
        <f>G39+H39</f>
        <v>0</v>
      </c>
      <c r="J39" s="54">
        <f>Langstaat!AN39</f>
        <v>0</v>
      </c>
      <c r="K39" s="54">
        <f>Langstaat!AO39</f>
        <v>0</v>
      </c>
      <c r="L39" s="54">
        <f>J39+K39</f>
        <v>0</v>
      </c>
      <c r="M39" s="70">
        <f t="shared" si="11"/>
        <v>0</v>
      </c>
      <c r="N39" s="54">
        <f>Sweet!S67 - DeurvoerSweet!B65</f>
        <v>0</v>
      </c>
      <c r="O39" s="54">
        <f>Bitter!S67 - DeurvoerBitter!B65</f>
        <v>0</v>
      </c>
      <c r="P39" s="54">
        <f>N39+O39</f>
        <v>0</v>
      </c>
      <c r="Q39" s="37" t="s">
        <v>153</v>
      </c>
      <c r="R39" s="37"/>
      <c r="S39" s="41"/>
    </row>
    <row r="40" spans="1:19" ht="9.75" customHeight="1" x14ac:dyDescent="0.5">
      <c r="A40" s="22"/>
      <c r="D40" s="2"/>
      <c r="E40" s="2"/>
      <c r="F40" s="2"/>
      <c r="G40" s="2"/>
      <c r="H40" s="2"/>
      <c r="I40" s="2"/>
      <c r="J40" s="2"/>
      <c r="K40" s="2"/>
      <c r="L40" s="2"/>
      <c r="M40" s="68"/>
      <c r="N40" s="2"/>
      <c r="O40" s="2"/>
      <c r="P40" s="2"/>
      <c r="Q40" s="29"/>
      <c r="R40" s="29"/>
      <c r="S40" s="41"/>
    </row>
    <row r="41" spans="1:19" ht="30" customHeight="1" x14ac:dyDescent="0.5">
      <c r="A41" s="22" t="s">
        <v>154</v>
      </c>
      <c r="D41" s="52">
        <f t="shared" ref="D41:L41" si="13">D42+D43</f>
        <v>2333</v>
      </c>
      <c r="E41" s="52">
        <f t="shared" si="13"/>
        <v>-332</v>
      </c>
      <c r="F41" s="52">
        <f t="shared" si="13"/>
        <v>2001</v>
      </c>
      <c r="G41" s="52">
        <f t="shared" si="13"/>
        <v>255</v>
      </c>
      <c r="H41" s="52">
        <f t="shared" si="13"/>
        <v>-9</v>
      </c>
      <c r="I41" s="52">
        <f t="shared" si="13"/>
        <v>246</v>
      </c>
      <c r="J41" s="52">
        <f t="shared" si="13"/>
        <v>6703</v>
      </c>
      <c r="K41" s="52">
        <f t="shared" si="13"/>
        <v>-81</v>
      </c>
      <c r="L41" s="52">
        <f t="shared" si="13"/>
        <v>6622</v>
      </c>
      <c r="M41" s="67"/>
      <c r="N41" s="52">
        <f>N42+N43</f>
        <v>1163</v>
      </c>
      <c r="O41" s="52">
        <f>O42+O43</f>
        <v>-1986</v>
      </c>
      <c r="P41" s="52">
        <f>P42+P43</f>
        <v>-823</v>
      </c>
      <c r="Q41" s="29"/>
      <c r="R41" s="29"/>
      <c r="S41" s="41" t="s">
        <v>155</v>
      </c>
    </row>
    <row r="42" spans="1:19" ht="30" customHeight="1" x14ac:dyDescent="0.5">
      <c r="A42" s="22"/>
      <c r="B42" s="7" t="s">
        <v>215</v>
      </c>
      <c r="C42" s="10"/>
      <c r="D42" s="53">
        <f>INDEX(Sweet!W39:'Sweet'!W50,MATCH(9.99999999999999E+307,Sweet!W39:'Sweet'!W50)-1)+INDEX(Sweet!X39:'Sweet'!X50,MATCH(9.99999999999999E+307,Sweet!X39:'Sweet'!X50)-1)-INDEX(Sweet!F39:'Sweet'!F50,MATCH(9.99999999999999E+307,Sweet!F39:'Sweet'!F50)-1)-INDEX(Sweet!G39:'Sweet'!G50,MATCH(9.99999999999999E+307,Sweet!G39:'Sweet'!G50)-1)-INDEX(Sweet!AF39:'Sweet'!AF50,MATCH(9.99999999999999E+307,Sweet!AF39:'Sweet'!AF50)-1)-INDEX(Sweet!AG39:'Sweet'!AG50,MATCH(9.99999999999999E+307,Sweet!AG39:'Sweet'!AG50)-1)</f>
        <v>234</v>
      </c>
      <c r="E42" s="53">
        <f>INDEX(Bitter!W39:'Bitter'!W50,MATCH(9.99999999999999E+307,Bitter!W39:'Bitter'!W50)-1)+INDEX(Bitter!X39:'Bitter'!X50,MATCH(9.99999999999999E+307,Bitter!X39:'Bitter'!X50)-1)-INDEX(Bitter!F39:'Bitter'!F50,MATCH(9.99999999999999E+307,Bitter!F39:'Bitter'!F50)-1)-INDEX(Bitter!G39:'Bitter'!G50,MATCH(9.99999999999999E+307,Bitter!G39:'Bitter'!G50)-1)-INDEX(Bitter!AF39:'Bitter'!AF50,MATCH(9.99999999999999E+307,Bitter!AF39:'Bitter'!AF50)-1)-INDEX(Bitter!AG39:'Bitter'!AG50,MATCH(9.99999999999999E+307,Bitter!AG39:'Bitter'!AG50)-1)</f>
        <v>-215</v>
      </c>
      <c r="F42" s="53">
        <f>D42+E42</f>
        <v>19</v>
      </c>
      <c r="G42" s="53">
        <f>INDEX(Sweet!W39:'Sweet'!W50,MATCH(9.99999999999999E+307,Sweet!W39:'Sweet'!W50))+INDEX(Sweet!X39:'Sweet'!X50,MATCH(9.99999999999999E+307,Sweet!X39:'Sweet'!X50))-INDEX(Sweet!F39:'Sweet'!F50,MATCH(9.99999999999999E+307,Sweet!F39:'Sweet'!F50))-INDEX(Sweet!G39:'Sweet'!G50,MATCH(9.99999999999999E+307,Sweet!G39:'Sweet'!G50))-INDEX(Sweet!AF39:'Sweet'!AF50,MATCH(9.99999999999999E+307,Sweet!AF39:'Sweet'!AF50))-INDEX(Sweet!AG39:'Sweet'!AG50,MATCH(9.99999999999999E+307,Sweet!AG39:'Sweet'!AG50))</f>
        <v>-125</v>
      </c>
      <c r="H42" s="53">
        <f>INDEX(Bitter!W39:'Bitter'!W50,MATCH(9.99999999999999E+307,Bitter!W39:'Bitter'!W50))+INDEX(Bitter!X39:'Bitter'!X50,MATCH(9.99999999999999E+307,Bitter!X39:'Bitter'!X50))-INDEX(Bitter!F39:'Bitter'!F50,MATCH(9.99999999999999E+307,Bitter!F39:'Bitter'!F50))-INDEX(Bitter!G39:'Bitter'!G50,MATCH(9.99999999999999E+307,Bitter!G39:'Bitter'!G50))-INDEX(Bitter!AF39:'Bitter'!AF50,MATCH(9.99999999999999E+307,Bitter!AF39:'Bitter'!AF50))-INDEX(Bitter!AG39:'Bitter'!AG50,MATCH(9.99999999999999E+307,Bitter!AG39:'Bitter'!AG50))</f>
        <v>55</v>
      </c>
      <c r="I42" s="53">
        <f>G42+H42</f>
        <v>-70</v>
      </c>
      <c r="J42" s="53">
        <f>Langstaat!AN42</f>
        <v>1291</v>
      </c>
      <c r="K42" s="53">
        <f>Langstaat!AO42</f>
        <v>-190</v>
      </c>
      <c r="L42" s="53">
        <f>J42+K42</f>
        <v>1101</v>
      </c>
      <c r="M42" s="69"/>
      <c r="N42" s="53">
        <f>Sweet!W67+Sweet!X67-Sweet!F67-Sweet!G67</f>
        <v>664</v>
      </c>
      <c r="O42" s="53">
        <f>Bitter!W67+Bitter!X67-Bitter!F67-Bitter!G67</f>
        <v>-133</v>
      </c>
      <c r="P42" s="53">
        <f>N42+O42</f>
        <v>531</v>
      </c>
      <c r="Q42" s="39"/>
      <c r="R42" s="36" t="s">
        <v>216</v>
      </c>
      <c r="S42" s="41"/>
    </row>
    <row r="43" spans="1:19" ht="30" customHeight="1" x14ac:dyDescent="0.5">
      <c r="A43" s="22"/>
      <c r="B43" s="9" t="s">
        <v>158</v>
      </c>
      <c r="C43" s="11"/>
      <c r="D43" s="54">
        <f>INDEX(Sweet!AA39:'Sweet'!AA50,MATCH(9.99999999999999E+307,Sweet!AA39:'Sweet'!AA50)-1)-INDEX(Sweet!H39:'Sweet'!H50,MATCH(9.99999999999999E+307,Sweet!H39:'Sweet'!H50)-1)-INDEX(DeurvoerSweet!N5:'DeurvoerSweet'!N16,MATCH(9.99999999999999E+307,DeurvoerSweet!N5:'DeurvoerSweet'!N16)-1)+INDEX(DeurvoerSweet!M5:'DeurvoerSweet'!M16,MATCH(9.99999999999999E+307,DeurvoerSweet!M5:'DeurvoerSweet'!M16)-1)</f>
        <v>2099</v>
      </c>
      <c r="E43" s="54">
        <f>INDEX(Bitter!AA39:'Bitter'!AA50,MATCH(9.99999999999999E+307,Bitter!AA39:'Bitter'!AA50)-1)-INDEX(Bitter!H39:'Bitter'!H50,MATCH(9.99999999999999E+307,Bitter!H39:'Bitter'!H50)-1)-INDEX(DeurvoerBitter!N5:'DeurvoerBitter'!N16,MATCH(9.99999999999999E+307,DeurvoerBitter!N5:'DeurvoerBitter'!N16)-1)+INDEX(DeurvoerBitter!M5:'DeurvoerBitter'!M16,MATCH(9.99999999999999E+307,DeurvoerBitter!M5:'DeurvoerBitter'!M16)-1)</f>
        <v>-117</v>
      </c>
      <c r="F43" s="54">
        <f>D43+E43</f>
        <v>1982</v>
      </c>
      <c r="G43" s="54">
        <f>INDEX(Sweet!AA39:'Sweet'!AA50,MATCH(9.99999999999999E+307,Sweet!AA39:'Sweet'!AA50))-INDEX(Sweet!H39:'Sweet'!H50,MATCH(9.99999999999999E+307,Sweet!H39:'Sweet'!H50))-INDEX(DeurvoerSweet!N5:'DeurvoerSweet'!N16,MATCH(9.99999999999999E+307,DeurvoerSweet!N5:'DeurvoerSweet'!N16))+INDEX(DeurvoerSweet!M5:'DeurvoerSweet'!M16,MATCH(9.99999999999999E+307,DeurvoerSweet!M5:'DeurvoerSweet'!M16))</f>
        <v>380</v>
      </c>
      <c r="H43" s="54">
        <f>INDEX(Bitter!AA39:'Bitter'!AA50,MATCH(9.99999999999999E+307,Bitter!AA39:'Bitter'!AA50))-INDEX(Bitter!H39:'Bitter'!H50,MATCH(9.99999999999999E+307,Bitter!H39:'Bitter'!H50))</f>
        <v>-64</v>
      </c>
      <c r="I43" s="54">
        <f>G43+H43</f>
        <v>316</v>
      </c>
      <c r="J43" s="54">
        <f>Langstaat!AN43</f>
        <v>5412</v>
      </c>
      <c r="K43" s="54">
        <f>Langstaat!AO43</f>
        <v>109</v>
      </c>
      <c r="L43" s="54">
        <f>J43+K43</f>
        <v>5521</v>
      </c>
      <c r="M43" s="70"/>
      <c r="N43" s="54">
        <f>Sweet!AA67-Sweet!H67-DeurvoerSweet!N49+DeurvoerSweet!M49</f>
        <v>499</v>
      </c>
      <c r="O43" s="54">
        <f>Bitter!AA67-Bitter!H67-DeurvoerBitter!N49+DeurvoerBitter!M49</f>
        <v>-1853</v>
      </c>
      <c r="P43" s="54">
        <f>N43+O43</f>
        <v>-1354</v>
      </c>
      <c r="Q43" s="40"/>
      <c r="R43" s="37" t="s">
        <v>159</v>
      </c>
      <c r="S43" s="41"/>
    </row>
    <row r="44" spans="1:19" ht="9.75" customHeight="1" x14ac:dyDescent="0.5">
      <c r="A44" s="22"/>
      <c r="D44" s="2"/>
      <c r="E44" s="2"/>
      <c r="F44" s="2"/>
      <c r="G44" s="2"/>
      <c r="H44" s="2"/>
      <c r="I44" s="2"/>
      <c r="J44" s="2"/>
      <c r="K44" s="2"/>
      <c r="L44" s="2"/>
      <c r="M44" s="68"/>
      <c r="N44" s="2"/>
      <c r="O44" s="2"/>
      <c r="P44" s="2"/>
      <c r="Q44" s="29"/>
      <c r="R44" s="29"/>
      <c r="S44" s="41"/>
    </row>
    <row r="45" spans="1:19" ht="30" customHeight="1" x14ac:dyDescent="0.5">
      <c r="A45" s="22"/>
      <c r="D45" s="147" t="s">
        <v>448</v>
      </c>
      <c r="E45" s="148"/>
      <c r="F45" s="149"/>
      <c r="G45" s="150" t="s">
        <v>449</v>
      </c>
      <c r="H45" s="148"/>
      <c r="I45" s="149"/>
      <c r="J45" s="150" t="str">
        <f>Langstaat!AN45</f>
        <v>28 Feb 2017</v>
      </c>
      <c r="K45" s="148"/>
      <c r="L45" s="149"/>
      <c r="M45" s="67"/>
      <c r="N45" s="151" t="s">
        <v>489</v>
      </c>
      <c r="O45" s="148"/>
      <c r="P45" s="149"/>
      <c r="Q45" s="29"/>
      <c r="R45" s="29"/>
      <c r="S45" s="41"/>
    </row>
    <row r="46" spans="1:19" ht="30" customHeight="1" x14ac:dyDescent="0.5">
      <c r="A46" s="23" t="s">
        <v>172</v>
      </c>
      <c r="B46" s="11"/>
      <c r="C46" s="11"/>
      <c r="D46" s="52">
        <f t="shared" ref="D46:L46" si="14">D11+D13-D17-D33-D41</f>
        <v>43736</v>
      </c>
      <c r="E46" s="52">
        <f t="shared" si="14"/>
        <v>4107</v>
      </c>
      <c r="F46" s="52">
        <f t="shared" si="14"/>
        <v>47843</v>
      </c>
      <c r="G46" s="52">
        <f t="shared" si="14"/>
        <v>31836</v>
      </c>
      <c r="H46" s="52">
        <f t="shared" si="14"/>
        <v>3402</v>
      </c>
      <c r="I46" s="52">
        <f t="shared" si="14"/>
        <v>35238</v>
      </c>
      <c r="J46" s="52">
        <f t="shared" si="14"/>
        <v>31836</v>
      </c>
      <c r="K46" s="52">
        <f t="shared" si="14"/>
        <v>3402</v>
      </c>
      <c r="L46" s="52">
        <f t="shared" si="14"/>
        <v>35238</v>
      </c>
      <c r="M46" s="65">
        <f>ROUND(IFERROR((L46-P46)/P46*100,IF(L46-P46=0,0,100)),1)</f>
        <v>-57.6</v>
      </c>
      <c r="N46" s="52">
        <f>N11+N13-N17-N33-N41</f>
        <v>57445</v>
      </c>
      <c r="O46" s="52">
        <f>O11+O13-O17-O33-O41</f>
        <v>25697</v>
      </c>
      <c r="P46" s="52">
        <f>P11+P13-P17-P33-P41</f>
        <v>83142</v>
      </c>
      <c r="Q46" s="40"/>
      <c r="R46" s="40"/>
      <c r="S46" s="43" t="s">
        <v>173</v>
      </c>
    </row>
    <row r="47" spans="1:19" ht="30" customHeight="1" x14ac:dyDescent="0.5">
      <c r="A47" s="22"/>
      <c r="D47" s="2"/>
      <c r="E47" s="2"/>
      <c r="F47" s="2"/>
      <c r="G47" s="2"/>
      <c r="H47" s="2"/>
      <c r="I47" s="2"/>
      <c r="J47" s="2"/>
      <c r="K47" s="2"/>
      <c r="L47" s="2"/>
      <c r="M47" s="48"/>
      <c r="N47" s="2"/>
      <c r="O47" s="2"/>
      <c r="P47" s="2"/>
      <c r="Q47" s="29"/>
      <c r="R47" s="29"/>
      <c r="S47" s="41"/>
    </row>
    <row r="48" spans="1:19" ht="30" customHeight="1" x14ac:dyDescent="0.5">
      <c r="A48" s="22" t="s">
        <v>217</v>
      </c>
      <c r="D48" s="52">
        <f t="shared" ref="D48:L48" si="15">D49+D50</f>
        <v>43736</v>
      </c>
      <c r="E48" s="52">
        <f t="shared" si="15"/>
        <v>4107</v>
      </c>
      <c r="F48" s="52">
        <f t="shared" si="15"/>
        <v>47843</v>
      </c>
      <c r="G48" s="52">
        <f t="shared" si="15"/>
        <v>31836</v>
      </c>
      <c r="H48" s="52">
        <f t="shared" si="15"/>
        <v>3402</v>
      </c>
      <c r="I48" s="52">
        <f t="shared" si="15"/>
        <v>35238</v>
      </c>
      <c r="J48" s="52">
        <f t="shared" si="15"/>
        <v>31836</v>
      </c>
      <c r="K48" s="52">
        <f t="shared" si="15"/>
        <v>3402</v>
      </c>
      <c r="L48" s="52">
        <f t="shared" si="15"/>
        <v>35238</v>
      </c>
      <c r="M48" s="65">
        <f>ROUND(IFERROR((L48-P48)/P48*100,IF(L48-P48=0,0,100)),1)</f>
        <v>-57.6</v>
      </c>
      <c r="N48" s="52">
        <f>N49+N50</f>
        <v>57445</v>
      </c>
      <c r="O48" s="52">
        <f>O49+O50</f>
        <v>25697</v>
      </c>
      <c r="P48" s="52">
        <f>P49+P50</f>
        <v>83142</v>
      </c>
      <c r="Q48" s="29"/>
      <c r="R48" s="29"/>
      <c r="S48" s="41" t="s">
        <v>218</v>
      </c>
    </row>
    <row r="49" spans="1:19" ht="30" customHeight="1" x14ac:dyDescent="0.5">
      <c r="A49" s="22"/>
      <c r="B49" s="7" t="s">
        <v>219</v>
      </c>
      <c r="C49" s="10"/>
      <c r="D49" s="53">
        <f>INDEX(Sweet!AB39:'Sweet'!AB50,MATCH(9.99999999999999E+307,Sweet!AB39:'Sweet'!AB50)-1)-INDEX(DeurvoerSweet!O5:'DeurvoerSweet'!O16,MATCH(9.99999999999999E+307,DeurvoerSweet!O5:'DeurvoerSweet'!O16)-1)</f>
        <v>17267</v>
      </c>
      <c r="E49" s="53">
        <f>INDEX(Bitter!AB39:'Bitter'!AB50,MATCH(9.99999999999999E+307,Bitter!AB39:'Bitter'!AB50)-1)-INDEX(DeurvoerBitter!O5:'DeurvoerBitter'!O16,MATCH(9.99999999999999E+307,DeurvoerBitter!O5:'DeurvoerBitter'!O16)-1)</f>
        <v>2772</v>
      </c>
      <c r="F49" s="53">
        <f>D49+E49</f>
        <v>20039</v>
      </c>
      <c r="G49" s="53">
        <f>INDEX(Sweet!AB39:'Sweet'!AB50,MATCH(9.99999999999999E+307,Sweet!AB39:'Sweet'!AB50))-INDEX(DeurvoerSweet!O5:'DeurvoerSweet'!O16,MATCH(9.99999999999999E+307,DeurvoerSweet!O5:'DeurvoerSweet'!O16))</f>
        <v>12485</v>
      </c>
      <c r="H49" s="53">
        <f>INDEX(Bitter!AB39:'Bitter'!AB50,MATCH(9.99999999999999E+307,Bitter!AB39:'Bitter'!AB50))-INDEX(DeurvoerBitter!O5:'DeurvoerBitter'!O16,MATCH(9.99999999999999E+307,DeurvoerBitter!O5:'DeurvoerBitter'!O16))</f>
        <v>2326</v>
      </c>
      <c r="I49" s="53">
        <f>G49+H49</f>
        <v>14811</v>
      </c>
      <c r="J49" s="53">
        <f>Langstaat!AN49</f>
        <v>12485</v>
      </c>
      <c r="K49" s="53">
        <f>Langstaat!AO49</f>
        <v>2326</v>
      </c>
      <c r="L49" s="53">
        <f>J49+K49</f>
        <v>14811</v>
      </c>
      <c r="M49" s="45">
        <f>ROUND(IFERROR((L49-P49)/P49*100,IF(L49-P49=0,0,100)),1)</f>
        <v>-65.2</v>
      </c>
      <c r="N49" s="53">
        <f>N46-N50</f>
        <v>22990</v>
      </c>
      <c r="O49" s="53">
        <f>O46-O50</f>
        <v>19592</v>
      </c>
      <c r="P49" s="53">
        <f>N49+O49</f>
        <v>42582</v>
      </c>
      <c r="Q49" s="39"/>
      <c r="R49" s="36" t="s">
        <v>177</v>
      </c>
      <c r="S49" s="41"/>
    </row>
    <row r="50" spans="1:19" ht="30" customHeight="1" x14ac:dyDescent="0.5">
      <c r="A50" s="22"/>
      <c r="B50" s="9" t="s">
        <v>178</v>
      </c>
      <c r="C50" s="11"/>
      <c r="D50" s="54">
        <f>INDEX(Sweet!AC39:'Sweet'!AC50,MATCH(9.99999999999999E+307,Sweet!AC39:'Sweet'!AC50)-1)</f>
        <v>26469</v>
      </c>
      <c r="E50" s="54">
        <f>INDEX(Bitter!AC39:'Bitter'!AC50,MATCH(9.99999999999999E+307,Bitter!AC39:'Bitter'!AC50)-1)</f>
        <v>1335</v>
      </c>
      <c r="F50" s="54">
        <f>D50+E50</f>
        <v>27804</v>
      </c>
      <c r="G50" s="54">
        <f>INDEX(Sweet!AC39:'Sweet'!AC50,MATCH(9.99999999999999E+307,Sweet!AC39:'Sweet'!AC50))</f>
        <v>19351</v>
      </c>
      <c r="H50" s="54">
        <f>INDEX(Bitter!AC39:'Bitter'!AC50,MATCH(9.99999999999999E+307,Bitter!AC39:'Bitter'!AC50))</f>
        <v>1076</v>
      </c>
      <c r="I50" s="54">
        <f>G50+H50</f>
        <v>20427</v>
      </c>
      <c r="J50" s="54">
        <f>Langstaat!AN50</f>
        <v>19351</v>
      </c>
      <c r="K50" s="54">
        <f>Langstaat!AO50</f>
        <v>1076</v>
      </c>
      <c r="L50" s="54">
        <f>J50+K50</f>
        <v>20427</v>
      </c>
      <c r="M50" s="46">
        <f>ROUND(IFERROR((L50-P50)/P50*100,IF(L43-P50=0,0,100)),1)</f>
        <v>-49.6</v>
      </c>
      <c r="N50" s="54">
        <f>INDEX(Sweet!AF55:'Sweet'!AF66,MATCH(9.99999999999999E+307,Sweet!AF55:'Sweet'!AF66))</f>
        <v>34455</v>
      </c>
      <c r="O50" s="54">
        <f>INDEX(Bitter!AF55:'Bitter'!AF66,MATCH(9.99999999999999E+307,Bitter!AF55:'Bitter'!AF66))</f>
        <v>6105</v>
      </c>
      <c r="P50" s="54">
        <f>N50+O50</f>
        <v>40560</v>
      </c>
      <c r="Q50" s="40"/>
      <c r="R50" s="37" t="s">
        <v>179</v>
      </c>
      <c r="S50" s="41"/>
    </row>
    <row r="51" spans="1:19" ht="9.75" customHeight="1" x14ac:dyDescent="0.5">
      <c r="A51" s="22"/>
      <c r="D51" s="2"/>
      <c r="E51" s="2"/>
      <c r="F51" s="2"/>
      <c r="G51" s="2"/>
      <c r="H51" s="2"/>
      <c r="I51" s="2"/>
      <c r="J51" s="2"/>
      <c r="K51" s="2"/>
      <c r="L51" s="2"/>
      <c r="N51" s="2"/>
      <c r="O51" s="2"/>
      <c r="P51" s="2"/>
      <c r="Q51" s="29"/>
      <c r="R51" s="29"/>
      <c r="S51" s="41"/>
    </row>
    <row r="52" spans="1:19" ht="30" customHeight="1" x14ac:dyDescent="0.5">
      <c r="A52" s="24" t="s">
        <v>220</v>
      </c>
      <c r="B52" s="10"/>
      <c r="C52" s="10"/>
      <c r="D52" s="56"/>
      <c r="E52" s="53"/>
      <c r="F52" s="60"/>
      <c r="G52" s="56"/>
      <c r="H52" s="53"/>
      <c r="I52" s="60"/>
      <c r="J52" s="56"/>
      <c r="K52" s="53"/>
      <c r="L52" s="60"/>
      <c r="M52" s="15"/>
      <c r="N52" s="56"/>
      <c r="O52" s="53"/>
      <c r="P52" s="60"/>
      <c r="Q52" s="39"/>
      <c r="R52" s="39"/>
      <c r="S52" s="42" t="s">
        <v>221</v>
      </c>
    </row>
    <row r="53" spans="1:19" ht="30" customHeight="1" x14ac:dyDescent="0.5">
      <c r="A53" s="22" t="s">
        <v>222</v>
      </c>
      <c r="D53" s="57"/>
      <c r="E53" s="55"/>
      <c r="F53" s="61"/>
      <c r="G53" s="57"/>
      <c r="H53" s="55"/>
      <c r="I53" s="61"/>
      <c r="J53" s="57"/>
      <c r="K53" s="55"/>
      <c r="L53" s="61"/>
      <c r="M53" s="21"/>
      <c r="N53" s="57"/>
      <c r="O53" s="55"/>
      <c r="P53" s="61"/>
      <c r="Q53" s="29"/>
      <c r="R53" s="29"/>
      <c r="S53" s="41" t="s">
        <v>223</v>
      </c>
    </row>
    <row r="54" spans="1:19" ht="30" customHeight="1" x14ac:dyDescent="0.5">
      <c r="A54" s="8"/>
      <c r="B54" t="s">
        <v>182</v>
      </c>
      <c r="D54" s="57">
        <f>INDEX(DeurvoerSweet!J5:'DeurvoerSweet'!J16,MATCH(9.99999999999999E+307,DeurvoerSweet!J5:'DeurvoerSweet'!J16)-1)</f>
        <v>5682</v>
      </c>
      <c r="E54" s="55">
        <f>INDEX(DeurvoerBitter!J5:'DeurvoerBitter'!J16,MATCH(9.99999999999999E+307,DeurvoerBitter!J5:'DeurvoerBitter'!J16)-1)</f>
        <v>0</v>
      </c>
      <c r="F54" s="61">
        <f>D54+E54</f>
        <v>5682</v>
      </c>
      <c r="G54" s="57">
        <f>INDEX(DeurvoerSweet!J5:'DeurvoerSweet'!J16,MATCH(9.99999999999999E+307,DeurvoerSweet!J5:'DeurvoerSweet'!J16))</f>
        <v>2907</v>
      </c>
      <c r="H54" s="55">
        <f>INDEX(DeurvoerBitter!J5:'DeurvoerBitter'!J16,MATCH(9.99999999999999E+307,DeurvoerBitter!J5:'DeurvoerBitter'!J16))</f>
        <v>0</v>
      </c>
      <c r="I54" s="61">
        <f>G54+H54</f>
        <v>2907</v>
      </c>
      <c r="J54" s="57">
        <f>Langstaat!AN53</f>
        <v>15750</v>
      </c>
      <c r="K54" s="55">
        <f>Langstaat!AO53</f>
        <v>0</v>
      </c>
      <c r="L54" s="61">
        <f>J54+K54</f>
        <v>15750</v>
      </c>
      <c r="M54" s="21"/>
      <c r="N54" s="57">
        <f>DeurvoerSweet!J37</f>
        <v>0</v>
      </c>
      <c r="O54" s="55">
        <f>DeurvoerBitter!J37</f>
        <v>0</v>
      </c>
      <c r="P54" s="61">
        <f>N54+O54</f>
        <v>0</v>
      </c>
      <c r="Q54" s="29"/>
      <c r="R54" s="29" t="s">
        <v>183</v>
      </c>
      <c r="S54" s="38"/>
    </row>
    <row r="55" spans="1:19" ht="30" customHeight="1" x14ac:dyDescent="0.5">
      <c r="A55" s="8"/>
      <c r="B55" t="s">
        <v>184</v>
      </c>
      <c r="D55" s="57">
        <f>INDEX(DeurvoerSweet!K5:'DeurvoerSweet'!K16,MATCH(9.99999999999999E+307,DeurvoerSweet!K5:'DeurvoerSweet'!K16)-1)</f>
        <v>0</v>
      </c>
      <c r="E55" s="55">
        <f>INDEX(DeurvoerBitter!K5:'DeurvoerBitter'!K16,MATCH(9.99999999999999E+307,DeurvoerBitter!K5:'DeurvoerBitter'!K16)-1)</f>
        <v>0</v>
      </c>
      <c r="F55" s="61">
        <f>D55+E55</f>
        <v>0</v>
      </c>
      <c r="G55" s="57">
        <f>INDEX(DeurvoerSweet!K5:'DeurvoerSweet'!K16,MATCH(9.99999999999999E+307,DeurvoerSweet!K5:'DeurvoerSweet'!K16))</f>
        <v>0</v>
      </c>
      <c r="H55" s="55">
        <f>INDEX(DeurvoerBitter!K5:'DeurvoerBitter'!K16,MATCH(9.99999999999999E+307,DeurvoerBitter!K5:'DeurvoerBitter'!K16))</f>
        <v>0</v>
      </c>
      <c r="I55" s="61">
        <f>G55+H55</f>
        <v>0</v>
      </c>
      <c r="J55" s="57">
        <f>Langstaat!AN54</f>
        <v>67952</v>
      </c>
      <c r="K55" s="55">
        <f>Langstaat!AO54</f>
        <v>0</v>
      </c>
      <c r="L55" s="61">
        <f>J55+K55</f>
        <v>67952</v>
      </c>
      <c r="M55" s="21"/>
      <c r="N55" s="57">
        <f>DeurvoerSweet!K49</f>
        <v>30827</v>
      </c>
      <c r="O55" s="55">
        <f>DeurvoerBitter!K49</f>
        <v>0</v>
      </c>
      <c r="P55" s="61">
        <f>N55+O55</f>
        <v>30827</v>
      </c>
      <c r="Q55" s="29"/>
      <c r="R55" s="29" t="s">
        <v>224</v>
      </c>
      <c r="S55" s="38"/>
    </row>
    <row r="56" spans="1:19" ht="30" customHeight="1" x14ac:dyDescent="0.5">
      <c r="A56" s="8"/>
      <c r="B56" t="s">
        <v>186</v>
      </c>
      <c r="D56" s="57">
        <f>INDEX(DeurvoerSweet!L5:'DeurvoerSweet'!L16,MATCH(9.99999999999999E+307,DeurvoerSweet!L5:'DeurvoerSweet'!L16)-1)</f>
        <v>2775</v>
      </c>
      <c r="E56" s="55">
        <f>INDEX(DeurvoerBitter!L5:'DeurvoerBitter'!L16,MATCH(9.99999999999999E+307,DeurvoerBitter!L5:'DeurvoerBitter'!L16)-1)</f>
        <v>0</v>
      </c>
      <c r="F56" s="61">
        <f>D56+E56</f>
        <v>2775</v>
      </c>
      <c r="G56" s="57">
        <f>INDEX(DeurvoerSweet!L5:'DeurvoerSweet'!L16,MATCH(9.99999999999999E+307,DeurvoerSweet!L5:'DeurvoerSweet'!L16))</f>
        <v>405</v>
      </c>
      <c r="H56" s="55">
        <f>INDEX(DeurvoerBitter!L5:'DeurvoerBitter'!L16,MATCH(9.99999999999999E+307,DeurvoerBitter!L5:'DeurvoerBitter'!L16))</f>
        <v>0</v>
      </c>
      <c r="I56" s="61">
        <f>G56+H56</f>
        <v>405</v>
      </c>
      <c r="J56" s="57">
        <f>Langstaat!AN55</f>
        <v>81227</v>
      </c>
      <c r="K56" s="55">
        <f>Langstaat!AO55</f>
        <v>0</v>
      </c>
      <c r="L56" s="61">
        <f>J56+K56</f>
        <v>81227</v>
      </c>
      <c r="M56" s="21"/>
      <c r="N56" s="57">
        <f>DeurvoerSweet!L49</f>
        <v>15098</v>
      </c>
      <c r="O56" s="55">
        <f>DeurvoerBitter!L49</f>
        <v>0</v>
      </c>
      <c r="P56" s="61">
        <f>N56+O56</f>
        <v>15098</v>
      </c>
      <c r="Q56" s="29"/>
      <c r="R56" s="29" t="s">
        <v>225</v>
      </c>
      <c r="S56" s="38"/>
    </row>
    <row r="57" spans="1:19" ht="30" customHeight="1" x14ac:dyDescent="0.5">
      <c r="A57" s="8"/>
      <c r="B57" t="s">
        <v>188</v>
      </c>
      <c r="D57" s="58">
        <f>INDEX(DeurvoerSweet!N5:'DeurvoerSweet'!N16,MATCH(9.99999999999999E+307,DeurvoerSweet!N5:'DeurvoerSweet'!N16)-1)-INDEX(DeurvoerSweet!M5:'DeurvoerSweet'!M16,MATCH(9.99999999999999E+307,DeurvoerSweet!M5:'DeurvoerSweet'!M16)-1)</f>
        <v>0</v>
      </c>
      <c r="E57" s="54">
        <f>INDEX(DeurvoerBitter!N5:'DeurvoerBitter'!N16,MATCH(9.99999999999999E+307,DeurvoerBitter!N5:'DeurvoerBitter'!N16)-1)-INDEX(DeurvoerBitter!M5:'DeurvoerBitter'!M16,MATCH(9.99999999999999E+307,DeurvoerBitter!M5:'DeurvoerBitter'!M16)-1)</f>
        <v>0</v>
      </c>
      <c r="F57" s="62">
        <f>D57+E57</f>
        <v>0</v>
      </c>
      <c r="G57" s="58">
        <f>INDEX(DeurvoerSweet!N5:'DeurvoerSweet'!N16,MATCH(9.99999999999999E+307,DeurvoerSweet!N5:'DeurvoerSweet'!N16))-INDEX(DeurvoerSweet!M5:'DeurvoerSweet'!M16,MATCH(9.99999999999999E+307,DeurvoerSweet!M5:'DeurvoerSweet'!M16))</f>
        <v>0</v>
      </c>
      <c r="H57" s="54">
        <f>INDEX(DeurvoerBitter!N5:'DeurvoerBitter'!N16,MATCH(9.99999999999999E+307,DeurvoerBitter!N5:'DeurvoerBitter'!N16))-INDEX(DeurvoerBitter!M5:'DeurvoerBitter'!M16,MATCH(9.99999999999999E+307,DeurvoerBitter!M5:'DeurvoerBitter'!M16))</f>
        <v>0</v>
      </c>
      <c r="I57" s="62">
        <f>G57+H57</f>
        <v>0</v>
      </c>
      <c r="J57" s="58">
        <f>Langstaat!AN56</f>
        <v>-27</v>
      </c>
      <c r="K57" s="54">
        <f>Langstaat!AO56</f>
        <v>0</v>
      </c>
      <c r="L57" s="62">
        <f>J57+K57</f>
        <v>-27</v>
      </c>
      <c r="M57" s="16"/>
      <c r="N57" s="58">
        <f>DeurvoerSweet!N49-DeurvoerSweet!M49</f>
        <v>-21</v>
      </c>
      <c r="O57" s="54">
        <f>DeurvoerBitter!N49-DeurvoerBitter!M49</f>
        <v>0</v>
      </c>
      <c r="P57" s="62">
        <f>N57+O57</f>
        <v>-21</v>
      </c>
      <c r="Q57" s="29"/>
      <c r="R57" s="29" t="s">
        <v>189</v>
      </c>
      <c r="S57" s="38"/>
    </row>
    <row r="58" spans="1:19" ht="30" customHeight="1" x14ac:dyDescent="0.5">
      <c r="A58" s="9"/>
      <c r="B58" s="11" t="s">
        <v>190</v>
      </c>
      <c r="C58" s="11"/>
      <c r="D58" s="59">
        <f>INDEX(DeurvoerSweet!O5:'DeurvoerSweet'!O16,MATCH(9.99999999999999E+307,DeurvoerSweet!O5:'DeurvoerSweet'!O16)-1)</f>
        <v>2907</v>
      </c>
      <c r="E58" s="52">
        <f>INDEX(DeurvoerBitter!O5:'DeurvoerBitter'!O16,MATCH(9.99999999999999E+307,DeurvoerBitter!O5:'DeurvoerBitter'!O16)-1)</f>
        <v>0</v>
      </c>
      <c r="F58" s="63">
        <f>D58+E58</f>
        <v>2907</v>
      </c>
      <c r="G58" s="59">
        <f>INDEX(DeurvoerSweet!O5:'DeurvoerSweet'!O16,MATCH(9.99999999999999E+307,DeurvoerSweet!O5:'DeurvoerSweet'!O16))</f>
        <v>2502</v>
      </c>
      <c r="H58" s="52">
        <f>INDEX(DeurvoerBitter!O5:'DeurvoerBitter'!O16,MATCH(9.99999999999999E+307,DeurvoerBitter!O5:'DeurvoerBitter'!O16))</f>
        <v>0</v>
      </c>
      <c r="I58" s="63">
        <f>G58+H58</f>
        <v>2502</v>
      </c>
      <c r="J58" s="59">
        <f>Langstaat!AN57</f>
        <v>2502</v>
      </c>
      <c r="K58" s="52">
        <f>Langstaat!AO57</f>
        <v>0</v>
      </c>
      <c r="L58" s="63">
        <f>J58+K58</f>
        <v>2502</v>
      </c>
      <c r="M58" s="20"/>
      <c r="N58" s="59">
        <f>INDEX(DeurvoerSweet!O37:'DeurvoerSweet'!O48,MATCH(9.99999999999999E+307,DeurvoerSweet!O37:'DeurvoerSweet'!O48))</f>
        <v>15750</v>
      </c>
      <c r="O58" s="52">
        <f>INDEX(DeurvoerBitter!O37:'DeurvoerBitter'!O48,MATCH(9.99999999999999E+307,DeurvoerBitter!O37:'DeurvoerBitter'!O48))</f>
        <v>0</v>
      </c>
      <c r="P58" s="63">
        <f>N58+O58</f>
        <v>15750</v>
      </c>
      <c r="Q58" s="40"/>
      <c r="R58" s="40" t="s">
        <v>191</v>
      </c>
      <c r="S58" s="37"/>
    </row>
    <row r="59" spans="1:19" ht="30" customHeight="1" x14ac:dyDescent="0.5">
      <c r="A59" s="8"/>
      <c r="S59" s="13"/>
    </row>
    <row r="60" spans="1:19" ht="30" customHeight="1" x14ac:dyDescent="0.5">
      <c r="A60" s="144" t="s">
        <v>226</v>
      </c>
      <c r="B60" s="145"/>
      <c r="C60" s="145"/>
      <c r="D60" s="145"/>
      <c r="E60" s="145"/>
      <c r="F60" s="145"/>
      <c r="G60" s="145"/>
      <c r="H60" s="145"/>
      <c r="I60" s="145"/>
      <c r="J60" s="48" t="s">
        <v>227</v>
      </c>
      <c r="K60" s="140" t="s">
        <v>228</v>
      </c>
      <c r="L60" s="140"/>
      <c r="M60" s="140"/>
      <c r="N60" s="140"/>
      <c r="O60" s="140"/>
      <c r="P60" s="140"/>
      <c r="Q60" s="140"/>
      <c r="R60" s="140"/>
      <c r="S60" s="141"/>
    </row>
    <row r="61" spans="1:19" ht="30" customHeight="1" x14ac:dyDescent="0.5">
      <c r="A61" s="144" t="s">
        <v>229</v>
      </c>
      <c r="B61" s="145"/>
      <c r="C61" s="145"/>
      <c r="D61" s="145"/>
      <c r="E61" s="145"/>
      <c r="F61" s="145"/>
      <c r="G61" s="145"/>
      <c r="H61" s="145"/>
      <c r="I61" s="145"/>
      <c r="J61" s="48" t="s">
        <v>230</v>
      </c>
      <c r="K61" s="140" t="s">
        <v>231</v>
      </c>
      <c r="L61" s="140"/>
      <c r="M61" s="140"/>
      <c r="N61" s="140"/>
      <c r="O61" s="140"/>
      <c r="P61" s="140"/>
      <c r="Q61" s="140"/>
      <c r="R61" s="140"/>
      <c r="S61" s="141"/>
    </row>
    <row r="62" spans="1:19" ht="30" customHeight="1" x14ac:dyDescent="0.5">
      <c r="A62" s="144" t="s">
        <v>232</v>
      </c>
      <c r="B62" s="145"/>
      <c r="C62" s="145"/>
      <c r="D62" s="145"/>
      <c r="E62" s="145"/>
      <c r="F62" s="145"/>
      <c r="G62" s="145"/>
      <c r="H62" s="145"/>
      <c r="I62" s="145"/>
      <c r="J62" s="48"/>
      <c r="K62" s="140" t="s">
        <v>233</v>
      </c>
      <c r="L62" s="140"/>
      <c r="M62" s="140"/>
      <c r="N62" s="140"/>
      <c r="O62" s="140"/>
      <c r="P62" s="140"/>
      <c r="Q62" s="140"/>
      <c r="R62" s="140"/>
      <c r="S62" s="141"/>
    </row>
    <row r="63" spans="1:19" ht="30" customHeight="1" x14ac:dyDescent="0.5">
      <c r="A63" s="144" t="s">
        <v>234</v>
      </c>
      <c r="B63" s="145"/>
      <c r="C63" s="145"/>
      <c r="D63" s="145"/>
      <c r="E63" s="145"/>
      <c r="F63" s="145"/>
      <c r="G63" s="145"/>
      <c r="H63" s="145"/>
      <c r="I63" s="145"/>
      <c r="J63" s="48" t="s">
        <v>235</v>
      </c>
      <c r="K63" s="140" t="s">
        <v>236</v>
      </c>
      <c r="L63" s="140"/>
      <c r="M63" s="140"/>
      <c r="N63" s="140"/>
      <c r="O63" s="140"/>
      <c r="P63" s="140"/>
      <c r="Q63" s="140"/>
      <c r="R63" s="140"/>
      <c r="S63" s="141"/>
    </row>
    <row r="64" spans="1:19" ht="30" customHeight="1" x14ac:dyDescent="0.5">
      <c r="A64" s="144" t="s">
        <v>237</v>
      </c>
      <c r="B64" s="145"/>
      <c r="C64" s="145"/>
      <c r="D64" s="145"/>
      <c r="E64" s="145"/>
      <c r="F64" s="145"/>
      <c r="G64" s="145"/>
      <c r="H64" s="145"/>
      <c r="I64" s="145"/>
      <c r="J64" s="48"/>
      <c r="K64" s="140" t="s">
        <v>238</v>
      </c>
      <c r="L64" s="140"/>
      <c r="M64" s="140"/>
      <c r="N64" s="140"/>
      <c r="O64" s="140"/>
      <c r="P64" s="140"/>
      <c r="Q64" s="140"/>
      <c r="R64" s="140"/>
      <c r="S64" s="141"/>
    </row>
    <row r="65" spans="1:19" ht="30" customHeight="1" x14ac:dyDescent="0.5">
      <c r="A65" s="138"/>
      <c r="B65" s="139"/>
      <c r="C65" s="139"/>
      <c r="D65" s="139"/>
      <c r="E65" s="139"/>
      <c r="F65" s="139"/>
      <c r="G65" s="139"/>
      <c r="H65" s="139"/>
      <c r="I65" s="139"/>
      <c r="J65" s="50"/>
      <c r="K65" s="142"/>
      <c r="L65" s="142"/>
      <c r="M65" s="142"/>
      <c r="N65" s="142"/>
      <c r="O65" s="142"/>
      <c r="P65" s="142"/>
      <c r="Q65" s="142"/>
      <c r="R65" s="142"/>
      <c r="S65" s="143"/>
    </row>
  </sheetData>
  <sheetProtection formatCells="0" formatColumns="0" formatRows="0" insertHyperlinks="0" deleteColumns="0" deleteRows="0" autoFilter="0" pivotTables="0"/>
  <protectedRanges>
    <protectedRange password="CE4B" sqref="A1:Z2 A4:Z60 A3:C3 Q3:Z3" name="p5952465375e72fe0b71385b992f2d0a3"/>
    <protectedRange password="CE4B" sqref="D3:P3" name="p5952465375e72fe0b71385b992f2d0a3_1"/>
  </protectedRanges>
  <mergeCells count="35">
    <mergeCell ref="D1:P1"/>
    <mergeCell ref="D2:P2"/>
    <mergeCell ref="D3:P3"/>
    <mergeCell ref="D4:P4"/>
    <mergeCell ref="N5:P5"/>
    <mergeCell ref="N6:P6"/>
    <mergeCell ref="Q2:S2"/>
    <mergeCell ref="Q5:S5"/>
    <mergeCell ref="G6:I6"/>
    <mergeCell ref="J5:L5"/>
    <mergeCell ref="D6:F6"/>
    <mergeCell ref="G5:I5"/>
    <mergeCell ref="J6:L6"/>
    <mergeCell ref="D10:F10"/>
    <mergeCell ref="G10:I10"/>
    <mergeCell ref="J10:L10"/>
    <mergeCell ref="N10:P10"/>
    <mergeCell ref="J12:L12"/>
    <mergeCell ref="N12:P12"/>
    <mergeCell ref="D45:F45"/>
    <mergeCell ref="G45:I45"/>
    <mergeCell ref="J45:L45"/>
    <mergeCell ref="N45:P45"/>
    <mergeCell ref="A65:I65"/>
    <mergeCell ref="K60:S60"/>
    <mergeCell ref="K61:S61"/>
    <mergeCell ref="K62:S62"/>
    <mergeCell ref="K63:S63"/>
    <mergeCell ref="K64:S64"/>
    <mergeCell ref="K65:S65"/>
    <mergeCell ref="A60:I60"/>
    <mergeCell ref="A61:I61"/>
    <mergeCell ref="A62:I62"/>
    <mergeCell ref="A63:I63"/>
    <mergeCell ref="A64:I64"/>
  </mergeCells>
  <pageMargins left="1" right="1" top="0.6" bottom="0.75" header="0.3" footer="0.3"/>
  <pageSetup paperSize="9" scale="2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68"/>
  <sheetViews>
    <sheetView topLeftCell="B46" zoomScale="50" workbookViewId="0">
      <selection activeCell="N49" sqref="N49"/>
    </sheetView>
  </sheetViews>
  <sheetFormatPr defaultRowHeight="28.2" x14ac:dyDescent="0.5"/>
  <cols>
    <col min="1" max="2" width="2.17578125" customWidth="1"/>
    <col min="3" max="3" width="32.17578125" customWidth="1"/>
    <col min="4" max="16" width="12" customWidth="1"/>
    <col min="17" max="17" width="64.17578125" customWidth="1"/>
    <col min="18" max="19" width="2.17578125" customWidth="1"/>
  </cols>
  <sheetData>
    <row r="1" spans="1:19" ht="30" customHeight="1" x14ac:dyDescent="0.5">
      <c r="A1" s="7"/>
      <c r="B1" s="10"/>
      <c r="C1" s="12"/>
      <c r="D1" s="135" t="s">
        <v>239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24"/>
      <c r="R1" s="10"/>
      <c r="S1" s="12"/>
    </row>
    <row r="2" spans="1:19" ht="30" customHeight="1" x14ac:dyDescent="0.5">
      <c r="A2" s="8"/>
      <c r="C2" s="13"/>
      <c r="D2" s="100" t="s">
        <v>240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Q2" s="100" t="str">
        <f>Langstaat!AQ3</f>
        <v>SMD-042017</v>
      </c>
      <c r="R2" s="101"/>
      <c r="S2" s="102"/>
    </row>
    <row r="3" spans="1:19" ht="30" customHeight="1" x14ac:dyDescent="0.5">
      <c r="A3" s="8"/>
      <c r="C3" s="13"/>
      <c r="D3" s="136" t="s">
        <v>471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7"/>
      <c r="Q3" s="22"/>
      <c r="S3" s="13"/>
    </row>
    <row r="4" spans="1:19" ht="30" customHeight="1" x14ac:dyDescent="0.5">
      <c r="A4" s="8"/>
      <c r="C4" s="13"/>
      <c r="D4" s="7"/>
      <c r="E4" s="10"/>
      <c r="F4" s="12"/>
      <c r="G4" s="122" t="s">
        <v>466</v>
      </c>
      <c r="H4" s="123"/>
      <c r="I4" s="124"/>
      <c r="J4" s="122" t="s">
        <v>241</v>
      </c>
      <c r="K4" s="123"/>
      <c r="L4" s="124"/>
      <c r="N4" s="122" t="str">
        <f>J4</f>
        <v>Progressive/Okuqhubekayo</v>
      </c>
      <c r="O4" s="123"/>
      <c r="P4" s="124"/>
      <c r="Q4" s="22"/>
      <c r="S4" s="13"/>
    </row>
    <row r="5" spans="1:19" ht="30" customHeight="1" x14ac:dyDescent="0.5">
      <c r="A5" s="8"/>
      <c r="C5" s="13"/>
      <c r="D5" s="158" t="s">
        <v>464</v>
      </c>
      <c r="E5" s="101"/>
      <c r="F5" s="102"/>
      <c r="G5" s="158" t="s">
        <v>467</v>
      </c>
      <c r="H5" s="101"/>
      <c r="I5" s="102"/>
      <c r="J5" s="158" t="s">
        <v>460</v>
      </c>
      <c r="K5" s="101"/>
      <c r="L5" s="102"/>
      <c r="N5" s="162" t="s">
        <v>462</v>
      </c>
      <c r="O5" s="101"/>
      <c r="P5" s="102"/>
      <c r="Q5" s="22"/>
      <c r="S5" s="13"/>
    </row>
    <row r="6" spans="1:19" ht="30" customHeight="1" x14ac:dyDescent="0.5">
      <c r="A6" s="8"/>
      <c r="C6" s="13"/>
      <c r="D6" s="125" t="s">
        <v>465</v>
      </c>
      <c r="E6" s="126"/>
      <c r="F6" s="127"/>
      <c r="G6" s="125" t="s">
        <v>486</v>
      </c>
      <c r="H6" s="126"/>
      <c r="I6" s="127"/>
      <c r="J6" s="125" t="s">
        <v>461</v>
      </c>
      <c r="K6" s="126"/>
      <c r="L6" s="127"/>
      <c r="N6" s="157" t="s">
        <v>463</v>
      </c>
      <c r="O6" s="126"/>
      <c r="P6" s="127"/>
      <c r="Q6" s="22"/>
      <c r="S6" s="13"/>
    </row>
    <row r="7" spans="1:19" ht="30" customHeight="1" x14ac:dyDescent="0.5">
      <c r="A7" s="8"/>
      <c r="C7" s="13"/>
      <c r="D7" s="45" t="s">
        <v>198</v>
      </c>
      <c r="E7" s="45" t="s">
        <v>199</v>
      </c>
      <c r="F7" s="45"/>
      <c r="G7" s="45" t="s">
        <v>198</v>
      </c>
      <c r="H7" s="45" t="s">
        <v>199</v>
      </c>
      <c r="I7" s="45"/>
      <c r="J7" s="45" t="s">
        <v>198</v>
      </c>
      <c r="K7" s="45" t="s">
        <v>199</v>
      </c>
      <c r="L7" s="45"/>
      <c r="M7" s="45"/>
      <c r="N7" s="45" t="s">
        <v>198</v>
      </c>
      <c r="O7" s="45" t="s">
        <v>199</v>
      </c>
      <c r="P7" s="45"/>
      <c r="Q7" s="155" t="str">
        <f>Langstaat!AQ6</f>
        <v>2017-04-26</v>
      </c>
      <c r="R7" s="101"/>
      <c r="S7" s="102"/>
    </row>
    <row r="8" spans="1:19" ht="30" customHeight="1" x14ac:dyDescent="0.5">
      <c r="A8" s="8"/>
      <c r="C8" s="13"/>
      <c r="D8" s="64" t="s">
        <v>86</v>
      </c>
      <c r="E8" s="64" t="s">
        <v>88</v>
      </c>
      <c r="F8" s="64" t="s">
        <v>51</v>
      </c>
      <c r="G8" s="64" t="s">
        <v>86</v>
      </c>
      <c r="H8" s="64" t="s">
        <v>88</v>
      </c>
      <c r="I8" s="64" t="s">
        <v>51</v>
      </c>
      <c r="J8" s="64" t="s">
        <v>86</v>
      </c>
      <c r="K8" s="64" t="s">
        <v>88</v>
      </c>
      <c r="L8" s="64" t="s">
        <v>51</v>
      </c>
      <c r="M8" s="64" t="s">
        <v>200</v>
      </c>
      <c r="N8" s="64" t="s">
        <v>86</v>
      </c>
      <c r="O8" s="64" t="s">
        <v>88</v>
      </c>
      <c r="P8" s="64" t="s">
        <v>51</v>
      </c>
      <c r="Q8" s="22"/>
      <c r="S8" s="13"/>
    </row>
    <row r="9" spans="1:19" ht="30" customHeight="1" x14ac:dyDescent="0.5">
      <c r="A9" s="9"/>
      <c r="B9" s="11"/>
      <c r="C9" s="14"/>
      <c r="D9" s="46" t="s">
        <v>242</v>
      </c>
      <c r="E9" s="46" t="s">
        <v>243</v>
      </c>
      <c r="F9" s="46" t="s">
        <v>244</v>
      </c>
      <c r="G9" s="46" t="s">
        <v>242</v>
      </c>
      <c r="H9" s="46" t="s">
        <v>243</v>
      </c>
      <c r="I9" s="46" t="s">
        <v>244</v>
      </c>
      <c r="J9" s="46" t="s">
        <v>242</v>
      </c>
      <c r="K9" s="46" t="s">
        <v>243</v>
      </c>
      <c r="L9" s="46" t="s">
        <v>244</v>
      </c>
      <c r="M9" s="46" t="s">
        <v>202</v>
      </c>
      <c r="N9" s="46" t="s">
        <v>242</v>
      </c>
      <c r="O9" s="46" t="s">
        <v>243</v>
      </c>
      <c r="P9" s="46" t="s">
        <v>244</v>
      </c>
      <c r="Q9" s="23"/>
      <c r="R9" s="11"/>
      <c r="S9" s="27"/>
    </row>
    <row r="10" spans="1:19" ht="30" customHeight="1" x14ac:dyDescent="0.5">
      <c r="A10" s="160" t="s">
        <v>245</v>
      </c>
      <c r="B10" s="105"/>
      <c r="C10" s="106"/>
      <c r="D10" s="17"/>
      <c r="E10" s="18"/>
      <c r="F10" s="18"/>
      <c r="G10" s="18"/>
      <c r="H10" s="18"/>
      <c r="I10" s="18"/>
      <c r="J10" s="18"/>
      <c r="K10" s="18"/>
      <c r="L10" s="18"/>
      <c r="M10" s="51"/>
      <c r="N10" s="18"/>
      <c r="O10" s="18"/>
      <c r="P10" s="19"/>
      <c r="Q10" s="160" t="s">
        <v>246</v>
      </c>
      <c r="R10" s="105"/>
      <c r="S10" s="161"/>
    </row>
    <row r="11" spans="1:19" ht="30" customHeight="1" x14ac:dyDescent="0.5">
      <c r="A11" s="158" t="s">
        <v>72</v>
      </c>
      <c r="B11" s="101"/>
      <c r="C11" s="101"/>
      <c r="D11" s="104" t="s">
        <v>468</v>
      </c>
      <c r="E11" s="105"/>
      <c r="F11" s="106"/>
      <c r="G11" s="104" t="s">
        <v>469</v>
      </c>
      <c r="H11" s="105"/>
      <c r="I11" s="106"/>
      <c r="J11" s="104" t="s">
        <v>247</v>
      </c>
      <c r="K11" s="105"/>
      <c r="L11" s="106"/>
      <c r="M11" s="67"/>
      <c r="N11" s="146" t="s">
        <v>470</v>
      </c>
      <c r="O11" s="105"/>
      <c r="P11" s="106"/>
      <c r="Q11" s="101" t="s">
        <v>248</v>
      </c>
      <c r="R11" s="101"/>
      <c r="S11" s="159"/>
    </row>
    <row r="12" spans="1:19" ht="30" customHeight="1" x14ac:dyDescent="0.5">
      <c r="A12" s="22" t="s">
        <v>102</v>
      </c>
      <c r="D12" s="52">
        <f>AFR_Kort!D11</f>
        <v>54262</v>
      </c>
      <c r="E12" s="52">
        <f>AFR_Kort!E11</f>
        <v>7622</v>
      </c>
      <c r="F12" s="52">
        <f>AFR_Kort!F11</f>
        <v>61884</v>
      </c>
      <c r="G12" s="52">
        <f>AFR_Kort!G11</f>
        <v>43736</v>
      </c>
      <c r="H12" s="52">
        <f>AFR_Kort!H11</f>
        <v>4107</v>
      </c>
      <c r="I12" s="52">
        <f>AFR_Kort!I11</f>
        <v>47843</v>
      </c>
      <c r="J12" s="52">
        <f>AFR_Kort!J11</f>
        <v>57445</v>
      </c>
      <c r="K12" s="52">
        <f>AFR_Kort!K11</f>
        <v>25697</v>
      </c>
      <c r="L12" s="52">
        <f>AFR_Kort!L11</f>
        <v>83142</v>
      </c>
      <c r="M12" s="67">
        <f>ROUND(IFERROR((L12-P12)/P12*100,IF(L12-P12=0,0,100)),1)</f>
        <v>-31.7</v>
      </c>
      <c r="N12" s="52">
        <f>AFR_Kort!N11</f>
        <v>66266</v>
      </c>
      <c r="O12" s="52">
        <f>AFR_Kort!O11</f>
        <v>55546</v>
      </c>
      <c r="P12" s="52">
        <f>AFR_Kort!P11</f>
        <v>121812</v>
      </c>
      <c r="Q12" s="29"/>
      <c r="R12" s="29"/>
      <c r="S12" s="41" t="s">
        <v>249</v>
      </c>
    </row>
    <row r="13" spans="1:19" ht="30" customHeight="1" x14ac:dyDescent="0.5">
      <c r="A13" s="22"/>
      <c r="D13" s="2"/>
      <c r="E13" s="2"/>
      <c r="F13" s="2"/>
      <c r="G13" s="2"/>
      <c r="H13" s="2"/>
      <c r="I13" s="2"/>
      <c r="J13" s="103" t="str">
        <f>J4</f>
        <v>Progressive/Okuqhubekayo</v>
      </c>
      <c r="K13" s="103"/>
      <c r="L13" s="103"/>
      <c r="M13" s="68"/>
      <c r="N13" s="103" t="str">
        <f>N4</f>
        <v>Progressive/Okuqhubekayo</v>
      </c>
      <c r="O13" s="103"/>
      <c r="P13" s="103"/>
      <c r="Q13" s="29"/>
      <c r="R13" s="29"/>
      <c r="S13" s="41"/>
    </row>
    <row r="14" spans="1:19" ht="30" customHeight="1" x14ac:dyDescent="0.5">
      <c r="A14" s="22"/>
      <c r="D14" s="2"/>
      <c r="E14" s="2"/>
      <c r="F14" s="2"/>
      <c r="G14" s="2"/>
      <c r="H14" s="2"/>
      <c r="I14" s="2"/>
      <c r="J14" s="103" t="str">
        <f>J5</f>
        <v>March 2016 - February 2017</v>
      </c>
      <c r="K14" s="103"/>
      <c r="L14" s="103"/>
      <c r="M14" s="68"/>
      <c r="N14" s="103" t="str">
        <f>N5</f>
        <v>March 2015 - February 2016</v>
      </c>
      <c r="O14" s="103"/>
      <c r="P14" s="103"/>
      <c r="Q14" s="29"/>
      <c r="R14" s="29"/>
      <c r="S14" s="41"/>
    </row>
    <row r="15" spans="1:19" ht="30" customHeight="1" x14ac:dyDescent="0.5">
      <c r="A15" s="22"/>
      <c r="D15" s="2"/>
      <c r="E15" s="2"/>
      <c r="F15" s="2"/>
      <c r="G15" s="2"/>
      <c r="H15" s="2"/>
      <c r="I15" s="2"/>
      <c r="J15" s="103" t="str">
        <f>J6</f>
        <v>KuMashi 2016 - KuFebhuwari 2017</v>
      </c>
      <c r="K15" s="103"/>
      <c r="L15" s="103"/>
      <c r="M15" s="68"/>
      <c r="N15" s="103" t="str">
        <f>N6</f>
        <v>KuMashi 2015 - KuFebhuwari 2016</v>
      </c>
      <c r="O15" s="103"/>
      <c r="P15" s="103"/>
      <c r="Q15" s="29"/>
      <c r="R15" s="29"/>
      <c r="S15" s="41"/>
    </row>
    <row r="16" spans="1:19" ht="30" customHeight="1" x14ac:dyDescent="0.5">
      <c r="A16" s="22" t="s">
        <v>104</v>
      </c>
      <c r="D16" s="52">
        <f>AFR_Kort!D13</f>
        <v>1472</v>
      </c>
      <c r="E16" s="52">
        <f>AFR_Kort!E13</f>
        <v>34</v>
      </c>
      <c r="F16" s="52">
        <f>AFR_Kort!F13</f>
        <v>1506</v>
      </c>
      <c r="G16" s="52">
        <f>AFR_Kort!G13</f>
        <v>792</v>
      </c>
      <c r="H16" s="52">
        <f>AFR_Kort!H13</f>
        <v>0</v>
      </c>
      <c r="I16" s="52">
        <f>AFR_Kort!I13</f>
        <v>792</v>
      </c>
      <c r="J16" s="52">
        <f>AFR_Kort!J13</f>
        <v>127558</v>
      </c>
      <c r="K16" s="52">
        <f>AFR_Kort!K13</f>
        <v>15977</v>
      </c>
      <c r="L16" s="52">
        <f>AFR_Kort!L13</f>
        <v>143535</v>
      </c>
      <c r="M16" s="67">
        <f>ROUND(IFERROR((L16-P16)/P16*100,IF(L16-P16=0,0,100)),1)</f>
        <v>-7.1</v>
      </c>
      <c r="N16" s="52">
        <f>AFR_Kort!N13</f>
        <v>133505</v>
      </c>
      <c r="O16" s="52">
        <f>AFR_Kort!O13</f>
        <v>21042</v>
      </c>
      <c r="P16" s="52">
        <f>AFR_Kort!P13</f>
        <v>154547</v>
      </c>
      <c r="Q16" s="29"/>
      <c r="R16" s="29"/>
      <c r="S16" s="41" t="s">
        <v>250</v>
      </c>
    </row>
    <row r="17" spans="1:19" ht="30" customHeight="1" x14ac:dyDescent="0.5">
      <c r="A17" s="22"/>
      <c r="B17" s="7" t="s">
        <v>106</v>
      </c>
      <c r="C17" s="10"/>
      <c r="D17" s="53">
        <f>AFR_Kort!D14</f>
        <v>1447</v>
      </c>
      <c r="E17" s="53">
        <f>AFR_Kort!E14</f>
        <v>34</v>
      </c>
      <c r="F17" s="53">
        <f>AFR_Kort!F14</f>
        <v>1481</v>
      </c>
      <c r="G17" s="53">
        <f>AFR_Kort!G14</f>
        <v>792</v>
      </c>
      <c r="H17" s="53">
        <f>AFR_Kort!H14</f>
        <v>0</v>
      </c>
      <c r="I17" s="53">
        <f>AFR_Kort!I14</f>
        <v>792</v>
      </c>
      <c r="J17" s="53">
        <f>AFR_Kort!J14</f>
        <v>52601</v>
      </c>
      <c r="K17" s="53">
        <f>AFR_Kort!K14</f>
        <v>15977</v>
      </c>
      <c r="L17" s="53">
        <f>AFR_Kort!L14</f>
        <v>68578</v>
      </c>
      <c r="M17" s="69">
        <f>ROUND(IFERROR((L17-P17)/P17*100,IF(L17-P17=0,0,100)),1)</f>
        <v>-43</v>
      </c>
      <c r="N17" s="53">
        <f>AFR_Kort!N14</f>
        <v>99189</v>
      </c>
      <c r="O17" s="53">
        <f>AFR_Kort!O14</f>
        <v>21042</v>
      </c>
      <c r="P17" s="53">
        <f>AFR_Kort!P14</f>
        <v>120231</v>
      </c>
      <c r="Q17" s="39"/>
      <c r="R17" s="36" t="s">
        <v>251</v>
      </c>
      <c r="S17" s="41"/>
    </row>
    <row r="18" spans="1:19" ht="30" customHeight="1" x14ac:dyDescent="0.5">
      <c r="A18" s="22"/>
      <c r="B18" s="9" t="s">
        <v>108</v>
      </c>
      <c r="C18" s="11"/>
      <c r="D18" s="54">
        <f>AFR_Kort!D15</f>
        <v>25</v>
      </c>
      <c r="E18" s="54">
        <f>AFR_Kort!E15</f>
        <v>0</v>
      </c>
      <c r="F18" s="54">
        <f>AFR_Kort!F15</f>
        <v>25</v>
      </c>
      <c r="G18" s="54">
        <f>AFR_Kort!G15</f>
        <v>0</v>
      </c>
      <c r="H18" s="54">
        <f>AFR_Kort!H15</f>
        <v>0</v>
      </c>
      <c r="I18" s="54">
        <f>AFR_Kort!I15</f>
        <v>0</v>
      </c>
      <c r="J18" s="54">
        <f>AFR_Kort!J15</f>
        <v>74957</v>
      </c>
      <c r="K18" s="54">
        <f>AFR_Kort!K15</f>
        <v>0</v>
      </c>
      <c r="L18" s="54">
        <f>AFR_Kort!L15</f>
        <v>74957</v>
      </c>
      <c r="M18" s="70">
        <f>ROUND(IFERROR((L18-P18)/P18*100,IF(L18-P18=0,0,100)),1)</f>
        <v>118.4</v>
      </c>
      <c r="N18" s="54">
        <f>AFR_Kort!N15</f>
        <v>34316</v>
      </c>
      <c r="O18" s="54">
        <f>AFR_Kort!O15</f>
        <v>0</v>
      </c>
      <c r="P18" s="54">
        <f>AFR_Kort!P15</f>
        <v>34316</v>
      </c>
      <c r="Q18" s="40"/>
      <c r="R18" s="37" t="s">
        <v>252</v>
      </c>
      <c r="S18" s="41"/>
    </row>
    <row r="19" spans="1:19" ht="9.75" customHeight="1" x14ac:dyDescent="0.5">
      <c r="A19" s="22"/>
      <c r="D19" s="2"/>
      <c r="E19" s="2"/>
      <c r="F19" s="2"/>
      <c r="G19" s="2"/>
      <c r="H19" s="2"/>
      <c r="I19" s="2"/>
      <c r="J19" s="2"/>
      <c r="K19" s="2"/>
      <c r="L19" s="2"/>
      <c r="M19" s="68"/>
      <c r="N19" s="2"/>
      <c r="O19" s="2"/>
      <c r="P19" s="2"/>
      <c r="Q19" s="29"/>
      <c r="R19" s="29"/>
      <c r="S19" s="41"/>
    </row>
    <row r="20" spans="1:19" ht="30" customHeight="1" x14ac:dyDescent="0.5">
      <c r="A20" s="22" t="s">
        <v>110</v>
      </c>
      <c r="D20" s="52">
        <f>AFR_Kort!D17</f>
        <v>9328</v>
      </c>
      <c r="E20" s="52">
        <f>AFR_Kort!E17</f>
        <v>3881</v>
      </c>
      <c r="F20" s="52">
        <f>AFR_Kort!F17</f>
        <v>13209</v>
      </c>
      <c r="G20" s="52">
        <f>AFR_Kort!G17</f>
        <v>12216</v>
      </c>
      <c r="H20" s="52">
        <f>AFR_Kort!H17</f>
        <v>514</v>
      </c>
      <c r="I20" s="52">
        <f>AFR_Kort!I17</f>
        <v>12730</v>
      </c>
      <c r="J20" s="52">
        <f>AFR_Kort!J17</f>
        <v>138095</v>
      </c>
      <c r="K20" s="52">
        <f>AFR_Kort!K17</f>
        <v>34073</v>
      </c>
      <c r="L20" s="52">
        <f>AFR_Kort!L17</f>
        <v>172168</v>
      </c>
      <c r="M20" s="67">
        <f t="shared" ref="M20:M34" si="0">ROUND(IFERROR((L20-P20)/P20*100,IF(L20-P20=0,0,100)),1)</f>
        <v>4.3</v>
      </c>
      <c r="N20" s="52">
        <f>AFR_Kort!N17</f>
        <v>117408</v>
      </c>
      <c r="O20" s="52">
        <f>AFR_Kort!O17</f>
        <v>47593</v>
      </c>
      <c r="P20" s="52">
        <f>AFR_Kort!P17</f>
        <v>165001</v>
      </c>
      <c r="Q20" s="29"/>
      <c r="R20" s="29"/>
      <c r="S20" s="41" t="s">
        <v>253</v>
      </c>
    </row>
    <row r="21" spans="1:19" ht="30" customHeight="1" x14ac:dyDescent="0.5">
      <c r="A21" s="22"/>
      <c r="B21" s="7" t="s">
        <v>204</v>
      </c>
      <c r="C21" s="10"/>
      <c r="D21" s="52">
        <f>AFR_Kort!D18</f>
        <v>9251</v>
      </c>
      <c r="E21" s="52">
        <f>AFR_Kort!E18</f>
        <v>3881</v>
      </c>
      <c r="F21" s="52">
        <f>AFR_Kort!F18</f>
        <v>13132</v>
      </c>
      <c r="G21" s="52">
        <f>AFR_Kort!G18</f>
        <v>12144</v>
      </c>
      <c r="H21" s="52">
        <f>AFR_Kort!H18</f>
        <v>514</v>
      </c>
      <c r="I21" s="52">
        <f>AFR_Kort!I18</f>
        <v>12658</v>
      </c>
      <c r="J21" s="52">
        <f>AFR_Kort!J18</f>
        <v>136753</v>
      </c>
      <c r="K21" s="52">
        <f>AFR_Kort!K18</f>
        <v>33562</v>
      </c>
      <c r="L21" s="52">
        <f>AFR_Kort!L18</f>
        <v>170315</v>
      </c>
      <c r="M21" s="67">
        <f t="shared" si="0"/>
        <v>6.6</v>
      </c>
      <c r="N21" s="52">
        <f>AFR_Kort!N18</f>
        <v>114499</v>
      </c>
      <c r="O21" s="52">
        <f>AFR_Kort!O18</f>
        <v>45325</v>
      </c>
      <c r="P21" s="52">
        <f>AFR_Kort!P18</f>
        <v>159824</v>
      </c>
      <c r="Q21" s="39"/>
      <c r="R21" s="36" t="s">
        <v>254</v>
      </c>
      <c r="S21" s="41"/>
    </row>
    <row r="22" spans="1:19" ht="30" customHeight="1" x14ac:dyDescent="0.5">
      <c r="A22" s="22"/>
      <c r="B22" s="8"/>
      <c r="C22" t="s">
        <v>206</v>
      </c>
      <c r="D22" s="52">
        <f>AFR_Kort!D19</f>
        <v>8641</v>
      </c>
      <c r="E22" s="52">
        <f>AFR_Kort!E19</f>
        <v>3722</v>
      </c>
      <c r="F22" s="52">
        <f>AFR_Kort!F19</f>
        <v>12363</v>
      </c>
      <c r="G22" s="52">
        <f>AFR_Kort!G19</f>
        <v>11546</v>
      </c>
      <c r="H22" s="52">
        <f>AFR_Kort!H19</f>
        <v>467</v>
      </c>
      <c r="I22" s="52">
        <f>AFR_Kort!I19</f>
        <v>12013</v>
      </c>
      <c r="J22" s="52">
        <f>AFR_Kort!J19</f>
        <v>129495</v>
      </c>
      <c r="K22" s="52">
        <f>AFR_Kort!K19</f>
        <v>31109</v>
      </c>
      <c r="L22" s="52">
        <f>AFR_Kort!L19</f>
        <v>160604</v>
      </c>
      <c r="M22" s="67">
        <f t="shared" si="0"/>
        <v>7.5</v>
      </c>
      <c r="N22" s="52">
        <f>AFR_Kort!N19</f>
        <v>107509</v>
      </c>
      <c r="O22" s="52">
        <f>AFR_Kort!O19</f>
        <v>41902</v>
      </c>
      <c r="P22" s="52">
        <f>AFR_Kort!P19</f>
        <v>149411</v>
      </c>
      <c r="Q22" s="29" t="s">
        <v>255</v>
      </c>
      <c r="R22" s="38"/>
      <c r="S22" s="41"/>
    </row>
    <row r="23" spans="1:19" ht="30" customHeight="1" x14ac:dyDescent="0.5">
      <c r="A23" s="22"/>
      <c r="B23" s="8"/>
      <c r="C23" s="7" t="s">
        <v>116</v>
      </c>
      <c r="D23" s="53">
        <f>AFR_Kort!D20</f>
        <v>517</v>
      </c>
      <c r="E23" s="53">
        <f>AFR_Kort!E20</f>
        <v>424</v>
      </c>
      <c r="F23" s="53">
        <f>AFR_Kort!F20</f>
        <v>941</v>
      </c>
      <c r="G23" s="53">
        <f>AFR_Kort!G20</f>
        <v>633</v>
      </c>
      <c r="H23" s="53">
        <f>AFR_Kort!H20</f>
        <v>275</v>
      </c>
      <c r="I23" s="53">
        <f>AFR_Kort!I20</f>
        <v>908</v>
      </c>
      <c r="J23" s="53">
        <f>AFR_Kort!J20</f>
        <v>3614</v>
      </c>
      <c r="K23" s="53">
        <f>AFR_Kort!K20</f>
        <v>8092</v>
      </c>
      <c r="L23" s="53">
        <f>AFR_Kort!L20</f>
        <v>11706</v>
      </c>
      <c r="M23" s="69">
        <f t="shared" si="0"/>
        <v>5.4</v>
      </c>
      <c r="N23" s="53">
        <f>AFR_Kort!N20</f>
        <v>246</v>
      </c>
      <c r="O23" s="53">
        <f>AFR_Kort!O20</f>
        <v>10859</v>
      </c>
      <c r="P23" s="53">
        <f>AFR_Kort!P20</f>
        <v>11105</v>
      </c>
      <c r="Q23" s="36" t="s">
        <v>256</v>
      </c>
      <c r="R23" s="38"/>
      <c r="S23" s="41"/>
    </row>
    <row r="24" spans="1:19" ht="30" customHeight="1" x14ac:dyDescent="0.5">
      <c r="A24" s="22"/>
      <c r="B24" s="8"/>
      <c r="C24" s="8" t="s">
        <v>118</v>
      </c>
      <c r="D24" s="55">
        <f>AFR_Kort!D21</f>
        <v>1173</v>
      </c>
      <c r="E24" s="55">
        <f>AFR_Kort!E21</f>
        <v>3298</v>
      </c>
      <c r="F24" s="55">
        <f>AFR_Kort!F21</f>
        <v>4471</v>
      </c>
      <c r="G24" s="55">
        <f>AFR_Kort!G21</f>
        <v>3735</v>
      </c>
      <c r="H24" s="55">
        <f>AFR_Kort!H21</f>
        <v>192</v>
      </c>
      <c r="I24" s="55">
        <f>AFR_Kort!I21</f>
        <v>3927</v>
      </c>
      <c r="J24" s="55">
        <f>AFR_Kort!J21</f>
        <v>28518</v>
      </c>
      <c r="K24" s="55">
        <f>AFR_Kort!K21</f>
        <v>22508</v>
      </c>
      <c r="L24" s="55">
        <f>AFR_Kort!L21</f>
        <v>51026</v>
      </c>
      <c r="M24" s="71">
        <f t="shared" si="0"/>
        <v>1.5</v>
      </c>
      <c r="N24" s="55">
        <f>AFR_Kort!N21</f>
        <v>20041</v>
      </c>
      <c r="O24" s="55">
        <f>AFR_Kort!O21</f>
        <v>30224</v>
      </c>
      <c r="P24" s="55">
        <f>AFR_Kort!P21</f>
        <v>50265</v>
      </c>
      <c r="Q24" s="38" t="s">
        <v>257</v>
      </c>
      <c r="R24" s="38"/>
      <c r="S24" s="41"/>
    </row>
    <row r="25" spans="1:19" ht="30" customHeight="1" x14ac:dyDescent="0.5">
      <c r="A25" s="22"/>
      <c r="B25" s="8"/>
      <c r="C25" s="8" t="s">
        <v>120</v>
      </c>
      <c r="D25" s="55">
        <f>AFR_Kort!D22</f>
        <v>6951</v>
      </c>
      <c r="E25" s="55">
        <f>AFR_Kort!E22</f>
        <v>0</v>
      </c>
      <c r="F25" s="55">
        <f>AFR_Kort!F22</f>
        <v>6951</v>
      </c>
      <c r="G25" s="55">
        <f>AFR_Kort!G22</f>
        <v>7178</v>
      </c>
      <c r="H25" s="55">
        <f>AFR_Kort!H22</f>
        <v>0</v>
      </c>
      <c r="I25" s="55">
        <f>AFR_Kort!I22</f>
        <v>7178</v>
      </c>
      <c r="J25" s="55">
        <f>AFR_Kort!J22</f>
        <v>97363</v>
      </c>
      <c r="K25" s="55">
        <f>AFR_Kort!K22</f>
        <v>509</v>
      </c>
      <c r="L25" s="55">
        <f>AFR_Kort!L22</f>
        <v>97872</v>
      </c>
      <c r="M25" s="71">
        <f t="shared" si="0"/>
        <v>11.2</v>
      </c>
      <c r="N25" s="55">
        <f>AFR_Kort!N22</f>
        <v>87222</v>
      </c>
      <c r="O25" s="55">
        <f>AFR_Kort!O22</f>
        <v>819</v>
      </c>
      <c r="P25" s="55">
        <f>AFR_Kort!P22</f>
        <v>88041</v>
      </c>
      <c r="Q25" s="38" t="s">
        <v>258</v>
      </c>
      <c r="R25" s="38"/>
      <c r="S25" s="41"/>
    </row>
    <row r="26" spans="1:19" ht="30" customHeight="1" x14ac:dyDescent="0.5">
      <c r="A26" s="22"/>
      <c r="B26" s="8"/>
      <c r="C26" s="8" t="s">
        <v>207</v>
      </c>
      <c r="D26" s="55">
        <f>AFR_Kort!D23</f>
        <v>0</v>
      </c>
      <c r="E26" s="55">
        <f>AFR_Kort!E23</f>
        <v>0</v>
      </c>
      <c r="F26" s="55">
        <f>AFR_Kort!F23</f>
        <v>0</v>
      </c>
      <c r="G26" s="55">
        <f>AFR_Kort!G23</f>
        <v>0</v>
      </c>
      <c r="H26" s="55">
        <f>AFR_Kort!H23</f>
        <v>0</v>
      </c>
      <c r="I26" s="55">
        <f>AFR_Kort!I23</f>
        <v>0</v>
      </c>
      <c r="J26" s="55">
        <f>AFR_Kort!J23</f>
        <v>0</v>
      </c>
      <c r="K26" s="55">
        <f>AFR_Kort!K23</f>
        <v>0</v>
      </c>
      <c r="L26" s="55">
        <f>AFR_Kort!L23</f>
        <v>0</v>
      </c>
      <c r="M26" s="71">
        <f t="shared" si="0"/>
        <v>0</v>
      </c>
      <c r="N26" s="55">
        <f>AFR_Kort!N23</f>
        <v>0</v>
      </c>
      <c r="O26" s="55">
        <f>AFR_Kort!O23</f>
        <v>0</v>
      </c>
      <c r="P26" s="55">
        <f>AFR_Kort!P23</f>
        <v>0</v>
      </c>
      <c r="Q26" s="38" t="s">
        <v>259</v>
      </c>
      <c r="R26" s="38"/>
      <c r="S26" s="41"/>
    </row>
    <row r="27" spans="1:19" ht="30" customHeight="1" x14ac:dyDescent="0.5">
      <c r="A27" s="22"/>
      <c r="B27" s="8"/>
      <c r="C27" s="9" t="s">
        <v>208</v>
      </c>
      <c r="D27" s="54">
        <f>AFR_Kort!D24</f>
        <v>0</v>
      </c>
      <c r="E27" s="54">
        <f>AFR_Kort!E24</f>
        <v>0</v>
      </c>
      <c r="F27" s="54">
        <f>AFR_Kort!F24</f>
        <v>0</v>
      </c>
      <c r="G27" s="54">
        <f>AFR_Kort!G24</f>
        <v>0</v>
      </c>
      <c r="H27" s="54">
        <f>AFR_Kort!H24</f>
        <v>0</v>
      </c>
      <c r="I27" s="54">
        <f>AFR_Kort!I24</f>
        <v>0</v>
      </c>
      <c r="J27" s="54">
        <f>AFR_Kort!J24</f>
        <v>0</v>
      </c>
      <c r="K27" s="54">
        <f>AFR_Kort!K24</f>
        <v>0</v>
      </c>
      <c r="L27" s="54">
        <f>AFR_Kort!L24</f>
        <v>0</v>
      </c>
      <c r="M27" s="70">
        <f t="shared" si="0"/>
        <v>0</v>
      </c>
      <c r="N27" s="54">
        <f>AFR_Kort!N24</f>
        <v>0</v>
      </c>
      <c r="O27" s="54">
        <f>AFR_Kort!O24</f>
        <v>0</v>
      </c>
      <c r="P27" s="54">
        <f>AFR_Kort!P24</f>
        <v>0</v>
      </c>
      <c r="Q27" s="37" t="s">
        <v>260</v>
      </c>
      <c r="R27" s="38"/>
      <c r="S27" s="41"/>
    </row>
    <row r="28" spans="1:19" ht="30" customHeight="1" x14ac:dyDescent="0.5">
      <c r="A28" s="22"/>
      <c r="B28" s="8"/>
      <c r="C28" t="s">
        <v>126</v>
      </c>
      <c r="D28" s="52">
        <f>AFR_Kort!D25</f>
        <v>610</v>
      </c>
      <c r="E28" s="52">
        <f>AFR_Kort!E25</f>
        <v>159</v>
      </c>
      <c r="F28" s="52">
        <f>AFR_Kort!F25</f>
        <v>769</v>
      </c>
      <c r="G28" s="52">
        <f>AFR_Kort!G25</f>
        <v>598</v>
      </c>
      <c r="H28" s="52">
        <f>AFR_Kort!H25</f>
        <v>47</v>
      </c>
      <c r="I28" s="52">
        <f>AFR_Kort!I25</f>
        <v>645</v>
      </c>
      <c r="J28" s="52">
        <f>AFR_Kort!J25</f>
        <v>7258</v>
      </c>
      <c r="K28" s="52">
        <f>AFR_Kort!K25</f>
        <v>2453</v>
      </c>
      <c r="L28" s="52">
        <f>AFR_Kort!L25</f>
        <v>9711</v>
      </c>
      <c r="M28" s="67">
        <f t="shared" si="0"/>
        <v>-6.7</v>
      </c>
      <c r="N28" s="52">
        <f>AFR_Kort!N25</f>
        <v>6990</v>
      </c>
      <c r="O28" s="52">
        <f>AFR_Kort!O25</f>
        <v>3423</v>
      </c>
      <c r="P28" s="52">
        <f>AFR_Kort!P25</f>
        <v>10413</v>
      </c>
      <c r="Q28" s="29" t="s">
        <v>261</v>
      </c>
      <c r="R28" s="38"/>
      <c r="S28" s="41"/>
    </row>
    <row r="29" spans="1:19" ht="30" customHeight="1" x14ac:dyDescent="0.5">
      <c r="A29" s="22"/>
      <c r="B29" s="8"/>
      <c r="C29" s="7" t="s">
        <v>128</v>
      </c>
      <c r="D29" s="53">
        <f>AFR_Kort!D26</f>
        <v>72</v>
      </c>
      <c r="E29" s="53">
        <f>AFR_Kort!E26</f>
        <v>0</v>
      </c>
      <c r="F29" s="53">
        <f>AFR_Kort!F26</f>
        <v>72</v>
      </c>
      <c r="G29" s="53">
        <f>AFR_Kort!G26</f>
        <v>62</v>
      </c>
      <c r="H29" s="53">
        <f>AFR_Kort!H26</f>
        <v>0</v>
      </c>
      <c r="I29" s="53">
        <f>AFR_Kort!I26</f>
        <v>62</v>
      </c>
      <c r="J29" s="53">
        <f>AFR_Kort!J26</f>
        <v>937</v>
      </c>
      <c r="K29" s="53">
        <f>AFR_Kort!K26</f>
        <v>64</v>
      </c>
      <c r="L29" s="53">
        <f>AFR_Kort!L26</f>
        <v>1001</v>
      </c>
      <c r="M29" s="69">
        <f t="shared" si="0"/>
        <v>-2.7</v>
      </c>
      <c r="N29" s="53">
        <f>AFR_Kort!N26</f>
        <v>1029</v>
      </c>
      <c r="O29" s="53">
        <f>AFR_Kort!O26</f>
        <v>0</v>
      </c>
      <c r="P29" s="53">
        <f>AFR_Kort!P26</f>
        <v>1029</v>
      </c>
      <c r="Q29" s="36" t="s">
        <v>262</v>
      </c>
      <c r="R29" s="38"/>
      <c r="S29" s="41"/>
    </row>
    <row r="30" spans="1:19" ht="30" customHeight="1" x14ac:dyDescent="0.5">
      <c r="A30" s="22"/>
      <c r="B30" s="8"/>
      <c r="C30" s="8" t="s">
        <v>209</v>
      </c>
      <c r="D30" s="55">
        <f>AFR_Kort!D27</f>
        <v>298</v>
      </c>
      <c r="E30" s="55">
        <f>AFR_Kort!E27</f>
        <v>3</v>
      </c>
      <c r="F30" s="55">
        <f>AFR_Kort!F27</f>
        <v>301</v>
      </c>
      <c r="G30" s="55">
        <f>AFR_Kort!G27</f>
        <v>337</v>
      </c>
      <c r="H30" s="55">
        <f>AFR_Kort!H27</f>
        <v>45</v>
      </c>
      <c r="I30" s="55">
        <f>AFR_Kort!I27</f>
        <v>382</v>
      </c>
      <c r="J30" s="55">
        <f>AFR_Kort!J27</f>
        <v>3227</v>
      </c>
      <c r="K30" s="55">
        <f>AFR_Kort!K27</f>
        <v>760</v>
      </c>
      <c r="L30" s="55">
        <f>AFR_Kort!L27</f>
        <v>3987</v>
      </c>
      <c r="M30" s="71">
        <f t="shared" si="0"/>
        <v>1</v>
      </c>
      <c r="N30" s="55">
        <f>AFR_Kort!N27</f>
        <v>2714</v>
      </c>
      <c r="O30" s="55">
        <f>AFR_Kort!O27</f>
        <v>1234</v>
      </c>
      <c r="P30" s="55">
        <f>AFR_Kort!P27</f>
        <v>3948</v>
      </c>
      <c r="Q30" s="38" t="s">
        <v>263</v>
      </c>
      <c r="R30" s="38"/>
      <c r="S30" s="41"/>
    </row>
    <row r="31" spans="1:19" ht="30" customHeight="1" x14ac:dyDescent="0.5">
      <c r="A31" s="22"/>
      <c r="B31" s="8"/>
      <c r="C31" s="9" t="s">
        <v>210</v>
      </c>
      <c r="D31" s="54">
        <f>AFR_Kort!D28</f>
        <v>240</v>
      </c>
      <c r="E31" s="54">
        <f>AFR_Kort!E28</f>
        <v>156</v>
      </c>
      <c r="F31" s="54">
        <f>AFR_Kort!F28</f>
        <v>396</v>
      </c>
      <c r="G31" s="54">
        <f>AFR_Kort!G28</f>
        <v>199</v>
      </c>
      <c r="H31" s="54">
        <f>AFR_Kort!H28</f>
        <v>2</v>
      </c>
      <c r="I31" s="54">
        <f>AFR_Kort!I28</f>
        <v>201</v>
      </c>
      <c r="J31" s="54">
        <f>AFR_Kort!J28</f>
        <v>3094</v>
      </c>
      <c r="K31" s="54">
        <f>AFR_Kort!K28</f>
        <v>1629</v>
      </c>
      <c r="L31" s="54">
        <f>AFR_Kort!L28</f>
        <v>4723</v>
      </c>
      <c r="M31" s="70">
        <f t="shared" si="0"/>
        <v>-13.1</v>
      </c>
      <c r="N31" s="54">
        <f>AFR_Kort!N28</f>
        <v>3247</v>
      </c>
      <c r="O31" s="54">
        <f>AFR_Kort!O28</f>
        <v>2189</v>
      </c>
      <c r="P31" s="54">
        <f>AFR_Kort!P28</f>
        <v>5436</v>
      </c>
      <c r="Q31" s="37" t="s">
        <v>264</v>
      </c>
      <c r="R31" s="38"/>
      <c r="S31" s="41"/>
    </row>
    <row r="32" spans="1:19" ht="30" customHeight="1" x14ac:dyDescent="0.5">
      <c r="A32" s="22"/>
      <c r="B32" s="8" t="s">
        <v>18</v>
      </c>
      <c r="D32" s="53">
        <f>AFR_Kort!D29</f>
        <v>0</v>
      </c>
      <c r="E32" s="53">
        <f>AFR_Kort!E29</f>
        <v>0</v>
      </c>
      <c r="F32" s="53">
        <f>AFR_Kort!F29</f>
        <v>0</v>
      </c>
      <c r="G32" s="53">
        <f>AFR_Kort!G29</f>
        <v>0</v>
      </c>
      <c r="H32" s="53">
        <f>AFR_Kort!H29</f>
        <v>0</v>
      </c>
      <c r="I32" s="53">
        <f>AFR_Kort!I29</f>
        <v>0</v>
      </c>
      <c r="J32" s="53">
        <f>AFR_Kort!J29</f>
        <v>0</v>
      </c>
      <c r="K32" s="53">
        <f>AFR_Kort!K29</f>
        <v>0</v>
      </c>
      <c r="L32" s="53">
        <f>AFR_Kort!L29</f>
        <v>0</v>
      </c>
      <c r="M32" s="69">
        <f t="shared" si="0"/>
        <v>0</v>
      </c>
      <c r="N32" s="53">
        <f>AFR_Kort!N29</f>
        <v>0</v>
      </c>
      <c r="O32" s="53">
        <f>AFR_Kort!O29</f>
        <v>0</v>
      </c>
      <c r="P32" s="53">
        <f>AFR_Kort!P29</f>
        <v>0</v>
      </c>
      <c r="Q32" s="29"/>
      <c r="R32" s="38" t="s">
        <v>265</v>
      </c>
      <c r="S32" s="41"/>
    </row>
    <row r="33" spans="1:19" ht="30" customHeight="1" x14ac:dyDescent="0.5">
      <c r="A33" s="22"/>
      <c r="B33" s="8" t="s">
        <v>136</v>
      </c>
      <c r="D33" s="55">
        <f>AFR_Kort!D30</f>
        <v>32</v>
      </c>
      <c r="E33" s="55">
        <f>AFR_Kort!E30</f>
        <v>0</v>
      </c>
      <c r="F33" s="55">
        <f>AFR_Kort!F30</f>
        <v>32</v>
      </c>
      <c r="G33" s="55">
        <f>AFR_Kort!G30</f>
        <v>0</v>
      </c>
      <c r="H33" s="55">
        <f>AFR_Kort!H30</f>
        <v>0</v>
      </c>
      <c r="I33" s="55">
        <f>AFR_Kort!I30</f>
        <v>0</v>
      </c>
      <c r="J33" s="55">
        <f>AFR_Kort!J30</f>
        <v>181</v>
      </c>
      <c r="K33" s="55">
        <f>AFR_Kort!K30</f>
        <v>463</v>
      </c>
      <c r="L33" s="55">
        <f>AFR_Kort!L30</f>
        <v>644</v>
      </c>
      <c r="M33" s="71">
        <f t="shared" si="0"/>
        <v>-74.900000000000006</v>
      </c>
      <c r="N33" s="55">
        <f>AFR_Kort!N30</f>
        <v>987</v>
      </c>
      <c r="O33" s="55">
        <f>AFR_Kort!O30</f>
        <v>1582</v>
      </c>
      <c r="P33" s="55">
        <f>AFR_Kort!P30</f>
        <v>2569</v>
      </c>
      <c r="Q33" s="29"/>
      <c r="R33" s="38" t="s">
        <v>266</v>
      </c>
      <c r="S33" s="41"/>
    </row>
    <row r="34" spans="1:19" ht="30" customHeight="1" x14ac:dyDescent="0.5">
      <c r="A34" s="22"/>
      <c r="B34" s="9" t="s">
        <v>138</v>
      </c>
      <c r="C34" s="11"/>
      <c r="D34" s="54">
        <f>AFR_Kort!D31</f>
        <v>45</v>
      </c>
      <c r="E34" s="54">
        <f>AFR_Kort!E31</f>
        <v>0</v>
      </c>
      <c r="F34" s="54">
        <f>AFR_Kort!F31</f>
        <v>45</v>
      </c>
      <c r="G34" s="54">
        <f>AFR_Kort!G31</f>
        <v>72</v>
      </c>
      <c r="H34" s="54">
        <f>AFR_Kort!H31</f>
        <v>0</v>
      </c>
      <c r="I34" s="54">
        <f>AFR_Kort!I31</f>
        <v>72</v>
      </c>
      <c r="J34" s="54">
        <f>AFR_Kort!J31</f>
        <v>1161</v>
      </c>
      <c r="K34" s="54">
        <f>AFR_Kort!K31</f>
        <v>48</v>
      </c>
      <c r="L34" s="54">
        <f>AFR_Kort!L31</f>
        <v>1209</v>
      </c>
      <c r="M34" s="70">
        <f t="shared" si="0"/>
        <v>-53.6</v>
      </c>
      <c r="N34" s="54">
        <f>AFR_Kort!N31</f>
        <v>1922</v>
      </c>
      <c r="O34" s="54">
        <f>AFR_Kort!O31</f>
        <v>686</v>
      </c>
      <c r="P34" s="54">
        <f>AFR_Kort!P31</f>
        <v>2608</v>
      </c>
      <c r="Q34" s="40"/>
      <c r="R34" s="37" t="s">
        <v>267</v>
      </c>
      <c r="S34" s="41"/>
    </row>
    <row r="35" spans="1:19" ht="9.75" customHeight="1" x14ac:dyDescent="0.5">
      <c r="A35" s="22"/>
      <c r="D35" s="2"/>
      <c r="E35" s="2"/>
      <c r="F35" s="2"/>
      <c r="G35" s="2"/>
      <c r="H35" s="2"/>
      <c r="I35" s="2"/>
      <c r="J35" s="2"/>
      <c r="K35" s="2"/>
      <c r="L35" s="2"/>
      <c r="M35" s="68"/>
      <c r="N35" s="2"/>
      <c r="O35" s="2"/>
      <c r="P35" s="2"/>
      <c r="Q35" s="29"/>
      <c r="R35" s="29"/>
      <c r="S35" s="41"/>
    </row>
    <row r="36" spans="1:19" ht="30" customHeight="1" x14ac:dyDescent="0.5">
      <c r="A36" s="22" t="s">
        <v>211</v>
      </c>
      <c r="D36" s="52">
        <f>AFR_Kort!D33</f>
        <v>337</v>
      </c>
      <c r="E36" s="52">
        <f>AFR_Kort!E33</f>
        <v>0</v>
      </c>
      <c r="F36" s="52">
        <f>AFR_Kort!F33</f>
        <v>337</v>
      </c>
      <c r="G36" s="52">
        <f>AFR_Kort!G33</f>
        <v>221</v>
      </c>
      <c r="H36" s="52">
        <f>AFR_Kort!H33</f>
        <v>200</v>
      </c>
      <c r="I36" s="52">
        <f>AFR_Kort!I33</f>
        <v>421</v>
      </c>
      <c r="J36" s="52">
        <f>AFR_Kort!J33</f>
        <v>8369</v>
      </c>
      <c r="K36" s="52">
        <f>AFR_Kort!K33</f>
        <v>4280</v>
      </c>
      <c r="L36" s="52">
        <f>AFR_Kort!L33</f>
        <v>12649</v>
      </c>
      <c r="M36" s="67">
        <f t="shared" ref="M36:M42" si="1">ROUND(IFERROR((L36-P36)/P36*100,IF(L36-P36=0,0,100)),1)</f>
        <v>-56.4</v>
      </c>
      <c r="N36" s="52">
        <f>AFR_Kort!N33</f>
        <v>23755</v>
      </c>
      <c r="O36" s="52">
        <f>AFR_Kort!O33</f>
        <v>5284</v>
      </c>
      <c r="P36" s="52">
        <f>AFR_Kort!P33</f>
        <v>29039</v>
      </c>
      <c r="Q36" s="29"/>
      <c r="R36" s="29"/>
      <c r="S36" s="41" t="s">
        <v>268</v>
      </c>
    </row>
    <row r="37" spans="1:19" ht="30" customHeight="1" x14ac:dyDescent="0.5">
      <c r="A37" s="22"/>
      <c r="B37" s="7" t="s">
        <v>142</v>
      </c>
      <c r="C37" s="10"/>
      <c r="D37" s="53">
        <f>AFR_Kort!D34</f>
        <v>328</v>
      </c>
      <c r="E37" s="53">
        <f>AFR_Kort!E34</f>
        <v>0</v>
      </c>
      <c r="F37" s="53">
        <f>AFR_Kort!F34</f>
        <v>328</v>
      </c>
      <c r="G37" s="53">
        <f>AFR_Kort!G34</f>
        <v>116</v>
      </c>
      <c r="H37" s="53">
        <f>AFR_Kort!H34</f>
        <v>200</v>
      </c>
      <c r="I37" s="53">
        <f>AFR_Kort!I34</f>
        <v>316</v>
      </c>
      <c r="J37" s="53">
        <f>AFR_Kort!J34</f>
        <v>2141</v>
      </c>
      <c r="K37" s="53">
        <f>AFR_Kort!K34</f>
        <v>3066</v>
      </c>
      <c r="L37" s="53">
        <f>AFR_Kort!L34</f>
        <v>5207</v>
      </c>
      <c r="M37" s="69">
        <f t="shared" si="1"/>
        <v>12.4</v>
      </c>
      <c r="N37" s="53">
        <f>AFR_Kort!N34</f>
        <v>0</v>
      </c>
      <c r="O37" s="53">
        <f>AFR_Kort!O34</f>
        <v>4633</v>
      </c>
      <c r="P37" s="53">
        <f>AFR_Kort!P34</f>
        <v>4633</v>
      </c>
      <c r="Q37" s="39"/>
      <c r="R37" s="36" t="s">
        <v>269</v>
      </c>
      <c r="S37" s="41"/>
    </row>
    <row r="38" spans="1:19" ht="30" customHeight="1" x14ac:dyDescent="0.5">
      <c r="A38" s="22"/>
      <c r="B38" s="8"/>
      <c r="C38" s="7" t="s">
        <v>144</v>
      </c>
      <c r="D38" s="53">
        <f>AFR_Kort!D35</f>
        <v>328</v>
      </c>
      <c r="E38" s="53">
        <f>AFR_Kort!E35</f>
        <v>0</v>
      </c>
      <c r="F38" s="53">
        <f>AFR_Kort!F35</f>
        <v>328</v>
      </c>
      <c r="G38" s="53">
        <f>AFR_Kort!G35</f>
        <v>116</v>
      </c>
      <c r="H38" s="53">
        <f>AFR_Kort!H35</f>
        <v>200</v>
      </c>
      <c r="I38" s="53">
        <f>AFR_Kort!I35</f>
        <v>316</v>
      </c>
      <c r="J38" s="53">
        <f>AFR_Kort!J35</f>
        <v>2141</v>
      </c>
      <c r="K38" s="53">
        <f>AFR_Kort!K35</f>
        <v>3066</v>
      </c>
      <c r="L38" s="53">
        <f>AFR_Kort!L35</f>
        <v>5207</v>
      </c>
      <c r="M38" s="69">
        <f t="shared" si="1"/>
        <v>12.4</v>
      </c>
      <c r="N38" s="53">
        <f>AFR_Kort!N35</f>
        <v>0</v>
      </c>
      <c r="O38" s="53">
        <f>AFR_Kort!O35</f>
        <v>4633</v>
      </c>
      <c r="P38" s="53">
        <f>AFR_Kort!P35</f>
        <v>4633</v>
      </c>
      <c r="Q38" s="36" t="s">
        <v>270</v>
      </c>
      <c r="R38" s="38"/>
      <c r="S38" s="41"/>
    </row>
    <row r="39" spans="1:19" ht="30" customHeight="1" x14ac:dyDescent="0.5">
      <c r="A39" s="22"/>
      <c r="B39" s="8"/>
      <c r="C39" s="9" t="s">
        <v>146</v>
      </c>
      <c r="D39" s="54">
        <f>AFR_Kort!D36</f>
        <v>0</v>
      </c>
      <c r="E39" s="54">
        <f>AFR_Kort!E36</f>
        <v>0</v>
      </c>
      <c r="F39" s="54">
        <f>AFR_Kort!F36</f>
        <v>0</v>
      </c>
      <c r="G39" s="54">
        <f>AFR_Kort!G36</f>
        <v>0</v>
      </c>
      <c r="H39" s="54">
        <f>AFR_Kort!H36</f>
        <v>0</v>
      </c>
      <c r="I39" s="54">
        <f>AFR_Kort!I36</f>
        <v>0</v>
      </c>
      <c r="J39" s="54">
        <f>AFR_Kort!J36</f>
        <v>0</v>
      </c>
      <c r="K39" s="54">
        <f>AFR_Kort!K36</f>
        <v>0</v>
      </c>
      <c r="L39" s="54">
        <f>AFR_Kort!L36</f>
        <v>0</v>
      </c>
      <c r="M39" s="70">
        <f t="shared" si="1"/>
        <v>0</v>
      </c>
      <c r="N39" s="54">
        <f>AFR_Kort!N36</f>
        <v>0</v>
      </c>
      <c r="O39" s="54">
        <f>AFR_Kort!O36</f>
        <v>0</v>
      </c>
      <c r="P39" s="54">
        <f>AFR_Kort!P36</f>
        <v>0</v>
      </c>
      <c r="Q39" s="37" t="s">
        <v>271</v>
      </c>
      <c r="R39" s="38"/>
      <c r="S39" s="41"/>
    </row>
    <row r="40" spans="1:19" ht="30" customHeight="1" x14ac:dyDescent="0.5">
      <c r="A40" s="22"/>
      <c r="B40" s="8" t="s">
        <v>148</v>
      </c>
      <c r="D40" s="55">
        <f>AFR_Kort!D37</f>
        <v>9</v>
      </c>
      <c r="E40" s="55">
        <f>AFR_Kort!E37</f>
        <v>0</v>
      </c>
      <c r="F40" s="55">
        <f>AFR_Kort!F37</f>
        <v>9</v>
      </c>
      <c r="G40" s="55">
        <f>AFR_Kort!G37</f>
        <v>105</v>
      </c>
      <c r="H40" s="55">
        <f>AFR_Kort!H37</f>
        <v>0</v>
      </c>
      <c r="I40" s="55">
        <f>AFR_Kort!I37</f>
        <v>105</v>
      </c>
      <c r="J40" s="55">
        <f>AFR_Kort!J37</f>
        <v>6228</v>
      </c>
      <c r="K40" s="55">
        <f>AFR_Kort!K37</f>
        <v>1214</v>
      </c>
      <c r="L40" s="55">
        <f>AFR_Kort!L37</f>
        <v>7442</v>
      </c>
      <c r="M40" s="71">
        <f t="shared" si="1"/>
        <v>-69.5</v>
      </c>
      <c r="N40" s="55">
        <f>AFR_Kort!N37</f>
        <v>23755</v>
      </c>
      <c r="O40" s="55">
        <f>AFR_Kort!O37</f>
        <v>651</v>
      </c>
      <c r="P40" s="55">
        <f>AFR_Kort!P37</f>
        <v>24406</v>
      </c>
      <c r="Q40" s="29"/>
      <c r="R40" s="38" t="s">
        <v>272</v>
      </c>
      <c r="S40" s="41"/>
    </row>
    <row r="41" spans="1:19" ht="30" customHeight="1" x14ac:dyDescent="0.5">
      <c r="A41" s="22"/>
      <c r="B41" s="8"/>
      <c r="C41" s="7" t="s">
        <v>150</v>
      </c>
      <c r="D41" s="53">
        <f>AFR_Kort!D38</f>
        <v>9</v>
      </c>
      <c r="E41" s="53">
        <f>AFR_Kort!E38</f>
        <v>0</v>
      </c>
      <c r="F41" s="53">
        <f>AFR_Kort!F38</f>
        <v>9</v>
      </c>
      <c r="G41" s="53">
        <f>AFR_Kort!G38</f>
        <v>105</v>
      </c>
      <c r="H41" s="53">
        <f>AFR_Kort!H38</f>
        <v>0</v>
      </c>
      <c r="I41" s="53">
        <f>AFR_Kort!I38</f>
        <v>105</v>
      </c>
      <c r="J41" s="53">
        <f>AFR_Kort!J38</f>
        <v>6228</v>
      </c>
      <c r="K41" s="53">
        <f>AFR_Kort!K38</f>
        <v>1214</v>
      </c>
      <c r="L41" s="53">
        <f>AFR_Kort!L38</f>
        <v>7442</v>
      </c>
      <c r="M41" s="69">
        <f t="shared" si="1"/>
        <v>-69.5</v>
      </c>
      <c r="N41" s="53">
        <f>AFR_Kort!N38</f>
        <v>23755</v>
      </c>
      <c r="O41" s="53">
        <f>AFR_Kort!O38</f>
        <v>651</v>
      </c>
      <c r="P41" s="53">
        <f>AFR_Kort!P38</f>
        <v>24406</v>
      </c>
      <c r="Q41" s="36" t="s">
        <v>273</v>
      </c>
      <c r="R41" s="38"/>
      <c r="S41" s="41"/>
    </row>
    <row r="42" spans="1:19" ht="30" customHeight="1" x14ac:dyDescent="0.5">
      <c r="A42" s="22"/>
      <c r="B42" s="9"/>
      <c r="C42" s="9" t="s">
        <v>152</v>
      </c>
      <c r="D42" s="54">
        <f>AFR_Kort!D39</f>
        <v>0</v>
      </c>
      <c r="E42" s="54">
        <f>AFR_Kort!E39</f>
        <v>0</v>
      </c>
      <c r="F42" s="54">
        <f>AFR_Kort!F39</f>
        <v>0</v>
      </c>
      <c r="G42" s="54">
        <f>AFR_Kort!G39</f>
        <v>0</v>
      </c>
      <c r="H42" s="54">
        <f>AFR_Kort!H39</f>
        <v>0</v>
      </c>
      <c r="I42" s="54">
        <f>AFR_Kort!I39</f>
        <v>0</v>
      </c>
      <c r="J42" s="54">
        <f>AFR_Kort!J39</f>
        <v>0</v>
      </c>
      <c r="K42" s="54">
        <f>AFR_Kort!K39</f>
        <v>0</v>
      </c>
      <c r="L42" s="54">
        <f>AFR_Kort!L39</f>
        <v>0</v>
      </c>
      <c r="M42" s="70">
        <f t="shared" si="1"/>
        <v>0</v>
      </c>
      <c r="N42" s="54">
        <f>AFR_Kort!N39</f>
        <v>0</v>
      </c>
      <c r="O42" s="54">
        <f>AFR_Kort!O39</f>
        <v>0</v>
      </c>
      <c r="P42" s="54">
        <f>AFR_Kort!P39</f>
        <v>0</v>
      </c>
      <c r="Q42" s="37" t="s">
        <v>274</v>
      </c>
      <c r="R42" s="37"/>
      <c r="S42" s="41"/>
    </row>
    <row r="43" spans="1:19" ht="9.75" customHeight="1" x14ac:dyDescent="0.5">
      <c r="A43" s="22"/>
      <c r="D43" s="2"/>
      <c r="E43" s="2"/>
      <c r="F43" s="2"/>
      <c r="G43" s="2"/>
      <c r="H43" s="2"/>
      <c r="I43" s="2"/>
      <c r="J43" s="2"/>
      <c r="K43" s="2"/>
      <c r="L43" s="2"/>
      <c r="M43" s="68"/>
      <c r="N43" s="2"/>
      <c r="O43" s="2"/>
      <c r="P43" s="2"/>
      <c r="Q43" s="29"/>
      <c r="R43" s="29"/>
      <c r="S43" s="41"/>
    </row>
    <row r="44" spans="1:19" ht="30" customHeight="1" x14ac:dyDescent="0.5">
      <c r="A44" s="22" t="s">
        <v>154</v>
      </c>
      <c r="D44" s="52">
        <f>AFR_Kort!D41</f>
        <v>2333</v>
      </c>
      <c r="E44" s="52">
        <f>AFR_Kort!E41</f>
        <v>-332</v>
      </c>
      <c r="F44" s="52">
        <f>AFR_Kort!F41</f>
        <v>2001</v>
      </c>
      <c r="G44" s="52">
        <f>AFR_Kort!G41</f>
        <v>255</v>
      </c>
      <c r="H44" s="52">
        <f>AFR_Kort!H41</f>
        <v>-9</v>
      </c>
      <c r="I44" s="52">
        <f>AFR_Kort!I41</f>
        <v>246</v>
      </c>
      <c r="J44" s="52">
        <f>AFR_Kort!J41</f>
        <v>6703</v>
      </c>
      <c r="K44" s="52">
        <f>AFR_Kort!K41</f>
        <v>-81</v>
      </c>
      <c r="L44" s="52">
        <f>AFR_Kort!L41</f>
        <v>6622</v>
      </c>
      <c r="M44" s="67"/>
      <c r="N44" s="52">
        <f>AFR_Kort!N41</f>
        <v>1163</v>
      </c>
      <c r="O44" s="52">
        <f>AFR_Kort!O41</f>
        <v>-1986</v>
      </c>
      <c r="P44" s="52">
        <f>AFR_Kort!P41</f>
        <v>-823</v>
      </c>
      <c r="Q44" s="29"/>
      <c r="R44" s="29"/>
      <c r="S44" s="41" t="s">
        <v>275</v>
      </c>
    </row>
    <row r="45" spans="1:19" ht="30" customHeight="1" x14ac:dyDescent="0.5">
      <c r="A45" s="22"/>
      <c r="B45" s="7" t="s">
        <v>215</v>
      </c>
      <c r="C45" s="10"/>
      <c r="D45" s="53">
        <f>AFR_Kort!D42</f>
        <v>234</v>
      </c>
      <c r="E45" s="53">
        <f>AFR_Kort!E42</f>
        <v>-215</v>
      </c>
      <c r="F45" s="53">
        <f>AFR_Kort!F42</f>
        <v>19</v>
      </c>
      <c r="G45" s="53">
        <f>AFR_Kort!G42</f>
        <v>-125</v>
      </c>
      <c r="H45" s="53">
        <f>AFR_Kort!H42</f>
        <v>55</v>
      </c>
      <c r="I45" s="53">
        <f>AFR_Kort!I42</f>
        <v>-70</v>
      </c>
      <c r="J45" s="53">
        <f>AFR_Kort!J42</f>
        <v>1291</v>
      </c>
      <c r="K45" s="53">
        <f>AFR_Kort!K42</f>
        <v>-190</v>
      </c>
      <c r="L45" s="53">
        <f>AFR_Kort!L42</f>
        <v>1101</v>
      </c>
      <c r="M45" s="69"/>
      <c r="N45" s="53">
        <f>AFR_Kort!N42</f>
        <v>664</v>
      </c>
      <c r="O45" s="53">
        <f>AFR_Kort!O42</f>
        <v>-133</v>
      </c>
      <c r="P45" s="53">
        <f>AFR_Kort!P42</f>
        <v>531</v>
      </c>
      <c r="Q45" s="39"/>
      <c r="R45" s="36" t="s">
        <v>276</v>
      </c>
      <c r="S45" s="41"/>
    </row>
    <row r="46" spans="1:19" ht="30" customHeight="1" x14ac:dyDescent="0.5">
      <c r="A46" s="22"/>
      <c r="B46" s="9" t="s">
        <v>158</v>
      </c>
      <c r="C46" s="11"/>
      <c r="D46" s="54">
        <f>AFR_Kort!D43</f>
        <v>2099</v>
      </c>
      <c r="E46" s="54">
        <f>AFR_Kort!E43</f>
        <v>-117</v>
      </c>
      <c r="F46" s="54">
        <f>AFR_Kort!F43</f>
        <v>1982</v>
      </c>
      <c r="G46" s="54">
        <f>AFR_Kort!G43</f>
        <v>380</v>
      </c>
      <c r="H46" s="54">
        <f>AFR_Kort!H43</f>
        <v>-64</v>
      </c>
      <c r="I46" s="54">
        <f>AFR_Kort!I43</f>
        <v>316</v>
      </c>
      <c r="J46" s="54">
        <f>AFR_Kort!J43</f>
        <v>5412</v>
      </c>
      <c r="K46" s="54">
        <f>AFR_Kort!K43</f>
        <v>109</v>
      </c>
      <c r="L46" s="54">
        <f>AFR_Kort!L43</f>
        <v>5521</v>
      </c>
      <c r="M46" s="70"/>
      <c r="N46" s="54">
        <f>AFR_Kort!N43</f>
        <v>499</v>
      </c>
      <c r="O46" s="54">
        <f>AFR_Kort!O43</f>
        <v>-1853</v>
      </c>
      <c r="P46" s="54">
        <f>AFR_Kort!P43</f>
        <v>-1354</v>
      </c>
      <c r="Q46" s="40"/>
      <c r="R46" s="37" t="s">
        <v>277</v>
      </c>
      <c r="S46" s="41"/>
    </row>
    <row r="47" spans="1:19" ht="9.75" customHeight="1" x14ac:dyDescent="0.5">
      <c r="A47" s="22"/>
      <c r="D47" s="2"/>
      <c r="E47" s="2"/>
      <c r="F47" s="2"/>
      <c r="G47" s="2"/>
      <c r="H47" s="2"/>
      <c r="I47" s="2"/>
      <c r="J47" s="2"/>
      <c r="K47" s="2"/>
      <c r="L47" s="2"/>
      <c r="M47" s="68"/>
      <c r="N47" s="2"/>
      <c r="O47" s="2"/>
      <c r="P47" s="2"/>
      <c r="Q47" s="29"/>
      <c r="R47" s="29"/>
      <c r="S47" s="41"/>
    </row>
    <row r="48" spans="1:19" ht="30" customHeight="1" x14ac:dyDescent="0.5">
      <c r="A48" s="22"/>
      <c r="D48" s="150" t="s">
        <v>472</v>
      </c>
      <c r="E48" s="148"/>
      <c r="F48" s="149"/>
      <c r="G48" s="150" t="s">
        <v>473</v>
      </c>
      <c r="H48" s="148"/>
      <c r="I48" s="149"/>
      <c r="J48" s="150" t="s">
        <v>473</v>
      </c>
      <c r="K48" s="148"/>
      <c r="L48" s="149"/>
      <c r="M48" s="67"/>
      <c r="N48" s="156" t="s">
        <v>487</v>
      </c>
      <c r="O48" s="148"/>
      <c r="P48" s="149"/>
      <c r="Q48" s="29"/>
      <c r="R48" s="29"/>
      <c r="S48" s="41"/>
    </row>
    <row r="49" spans="1:19" ht="30" customHeight="1" x14ac:dyDescent="0.5">
      <c r="A49" s="23" t="s">
        <v>172</v>
      </c>
      <c r="B49" s="11"/>
      <c r="C49" s="11"/>
      <c r="D49" s="52">
        <f>AFR_Kort!D46</f>
        <v>43736</v>
      </c>
      <c r="E49" s="52">
        <f>AFR_Kort!E46</f>
        <v>4107</v>
      </c>
      <c r="F49" s="52">
        <f>AFR_Kort!F46</f>
        <v>47843</v>
      </c>
      <c r="G49" s="52">
        <f>AFR_Kort!G46</f>
        <v>31836</v>
      </c>
      <c r="H49" s="52">
        <f>AFR_Kort!H46</f>
        <v>3402</v>
      </c>
      <c r="I49" s="52">
        <f>AFR_Kort!I46</f>
        <v>35238</v>
      </c>
      <c r="J49" s="52">
        <f>AFR_Kort!J46</f>
        <v>31836</v>
      </c>
      <c r="K49" s="52">
        <f>AFR_Kort!K46</f>
        <v>3402</v>
      </c>
      <c r="L49" s="52">
        <f>AFR_Kort!L46</f>
        <v>35238</v>
      </c>
      <c r="M49" s="65">
        <f>ROUND(IFERROR((L49-P49)/P49*100,IF(L49-P49=0,0,100)),1)</f>
        <v>-57.6</v>
      </c>
      <c r="N49" s="52">
        <f>AFR_Kort!N46</f>
        <v>57445</v>
      </c>
      <c r="O49" s="52">
        <f>AFR_Kort!O46</f>
        <v>25697</v>
      </c>
      <c r="P49" s="52">
        <f>AFR_Kort!P46</f>
        <v>83142</v>
      </c>
      <c r="Q49" s="40"/>
      <c r="R49" s="40"/>
      <c r="S49" s="43" t="s">
        <v>278</v>
      </c>
    </row>
    <row r="50" spans="1:19" ht="9.75" customHeight="1" x14ac:dyDescent="0.5">
      <c r="A50" s="22"/>
      <c r="D50" s="2"/>
      <c r="E50" s="2"/>
      <c r="F50" s="2"/>
      <c r="G50" s="2"/>
      <c r="H50" s="2"/>
      <c r="I50" s="2"/>
      <c r="J50" s="2"/>
      <c r="K50" s="2"/>
      <c r="L50" s="2"/>
      <c r="M50" s="48"/>
      <c r="N50" s="2"/>
      <c r="O50" s="2"/>
      <c r="P50" s="2"/>
      <c r="Q50" s="29"/>
      <c r="R50" s="29"/>
      <c r="S50" s="41"/>
    </row>
    <row r="51" spans="1:19" ht="30" customHeight="1" x14ac:dyDescent="0.5">
      <c r="A51" s="22" t="s">
        <v>217</v>
      </c>
      <c r="D51" s="52">
        <f>AFR_Kort!D48</f>
        <v>43736</v>
      </c>
      <c r="E51" s="52">
        <f>AFR_Kort!E48</f>
        <v>4107</v>
      </c>
      <c r="F51" s="52">
        <f>AFR_Kort!F48</f>
        <v>47843</v>
      </c>
      <c r="G51" s="52">
        <f>AFR_Kort!G48</f>
        <v>31836</v>
      </c>
      <c r="H51" s="52">
        <f>AFR_Kort!H48</f>
        <v>3402</v>
      </c>
      <c r="I51" s="52">
        <f>AFR_Kort!I48</f>
        <v>35238</v>
      </c>
      <c r="J51" s="52">
        <f>AFR_Kort!J48</f>
        <v>31836</v>
      </c>
      <c r="K51" s="52">
        <f>AFR_Kort!K48</f>
        <v>3402</v>
      </c>
      <c r="L51" s="52">
        <f>AFR_Kort!L48</f>
        <v>35238</v>
      </c>
      <c r="M51" s="65">
        <f>ROUND(IFERROR((L51-P51)/P51*100,IF(L51-P51=0,0,100)),1)</f>
        <v>-57.6</v>
      </c>
      <c r="N51" s="52">
        <f>AFR_Kort!N48</f>
        <v>57445</v>
      </c>
      <c r="O51" s="52">
        <f>AFR_Kort!O48</f>
        <v>25697</v>
      </c>
      <c r="P51" s="52">
        <f>AFR_Kort!P48</f>
        <v>83142</v>
      </c>
      <c r="Q51" s="29"/>
      <c r="R51" s="29"/>
      <c r="S51" s="41" t="s">
        <v>279</v>
      </c>
    </row>
    <row r="52" spans="1:19" ht="30" customHeight="1" x14ac:dyDescent="0.5">
      <c r="A52" s="22"/>
      <c r="B52" s="7" t="s">
        <v>219</v>
      </c>
      <c r="C52" s="10"/>
      <c r="D52" s="53">
        <f>AFR_Kort!D49</f>
        <v>17267</v>
      </c>
      <c r="E52" s="53">
        <f>AFR_Kort!E49</f>
        <v>2772</v>
      </c>
      <c r="F52" s="53">
        <f>AFR_Kort!F49</f>
        <v>20039</v>
      </c>
      <c r="G52" s="53">
        <f>AFR_Kort!G49</f>
        <v>12485</v>
      </c>
      <c r="H52" s="53">
        <f>AFR_Kort!H49</f>
        <v>2326</v>
      </c>
      <c r="I52" s="53">
        <f>AFR_Kort!I49</f>
        <v>14811</v>
      </c>
      <c r="J52" s="53">
        <f>AFR_Kort!J49</f>
        <v>12485</v>
      </c>
      <c r="K52" s="53">
        <f>AFR_Kort!K49</f>
        <v>2326</v>
      </c>
      <c r="L52" s="53">
        <f>AFR_Kort!L49</f>
        <v>14811</v>
      </c>
      <c r="M52" s="45">
        <f>ROUND(IFERROR((L52-P52)/P52*100,IF(L52-P52=0,0,100)),1)</f>
        <v>-65.2</v>
      </c>
      <c r="N52" s="53">
        <f>AFR_Kort!N49</f>
        <v>22990</v>
      </c>
      <c r="O52" s="53">
        <f>AFR_Kort!O49</f>
        <v>19592</v>
      </c>
      <c r="P52" s="53">
        <f>AFR_Kort!P49</f>
        <v>42582</v>
      </c>
      <c r="Q52" s="39"/>
      <c r="R52" s="36" t="s">
        <v>280</v>
      </c>
      <c r="S52" s="41"/>
    </row>
    <row r="53" spans="1:19" ht="30" customHeight="1" x14ac:dyDescent="0.5">
      <c r="A53" s="22"/>
      <c r="B53" s="9" t="s">
        <v>178</v>
      </c>
      <c r="C53" s="11"/>
      <c r="D53" s="54">
        <f>AFR_Kort!D50</f>
        <v>26469</v>
      </c>
      <c r="E53" s="54">
        <f>AFR_Kort!E50</f>
        <v>1335</v>
      </c>
      <c r="F53" s="54">
        <f>AFR_Kort!F50</f>
        <v>27804</v>
      </c>
      <c r="G53" s="54">
        <f>AFR_Kort!G50</f>
        <v>19351</v>
      </c>
      <c r="H53" s="54">
        <f>AFR_Kort!H50</f>
        <v>1076</v>
      </c>
      <c r="I53" s="54">
        <f>AFR_Kort!I50</f>
        <v>20427</v>
      </c>
      <c r="J53" s="54">
        <f>AFR_Kort!J50</f>
        <v>19351</v>
      </c>
      <c r="K53" s="54">
        <f>AFR_Kort!K50</f>
        <v>1076</v>
      </c>
      <c r="L53" s="54">
        <f>AFR_Kort!L50</f>
        <v>20427</v>
      </c>
      <c r="M53" s="46">
        <f>ROUND(IFERROR((L53-P53)/P53*100,IF(L53-P53=0,0,100)),1)</f>
        <v>-49.6</v>
      </c>
      <c r="N53" s="54">
        <f>AFR_Kort!N50</f>
        <v>34455</v>
      </c>
      <c r="O53" s="54">
        <f>AFR_Kort!O50</f>
        <v>6105</v>
      </c>
      <c r="P53" s="54">
        <f>AFR_Kort!P50</f>
        <v>40560</v>
      </c>
      <c r="Q53" s="40"/>
      <c r="R53" s="37" t="s">
        <v>281</v>
      </c>
      <c r="S53" s="41"/>
    </row>
    <row r="54" spans="1:19" ht="9.75" customHeight="1" x14ac:dyDescent="0.5">
      <c r="A54" s="23"/>
      <c r="B54" s="11"/>
      <c r="C54" s="11"/>
      <c r="D54" s="72"/>
      <c r="E54" s="72"/>
      <c r="F54" s="72"/>
      <c r="G54" s="72"/>
      <c r="H54" s="72"/>
      <c r="I54" s="72"/>
      <c r="J54" s="72"/>
      <c r="K54" s="72"/>
      <c r="L54" s="72"/>
      <c r="M54" s="11"/>
      <c r="N54" s="72"/>
      <c r="O54" s="72"/>
      <c r="P54" s="72"/>
      <c r="Q54" s="40"/>
      <c r="R54" s="40"/>
      <c r="S54" s="43"/>
    </row>
    <row r="55" spans="1:19" ht="30" customHeight="1" x14ac:dyDescent="0.5">
      <c r="A55" s="24" t="s">
        <v>220</v>
      </c>
      <c r="B55" s="10"/>
      <c r="C55" s="12"/>
      <c r="D55" s="53"/>
      <c r="E55" s="53"/>
      <c r="F55" s="60"/>
      <c r="G55" s="53"/>
      <c r="H55" s="53"/>
      <c r="I55" s="60"/>
      <c r="J55" s="53"/>
      <c r="K55" s="53"/>
      <c r="L55" s="60"/>
      <c r="M55" s="15"/>
      <c r="N55" s="53"/>
      <c r="O55" s="53"/>
      <c r="P55" s="60"/>
      <c r="Q55" s="30"/>
      <c r="R55" s="39"/>
      <c r="S55" s="42" t="s">
        <v>282</v>
      </c>
    </row>
    <row r="56" spans="1:19" ht="30" customHeight="1" x14ac:dyDescent="0.5">
      <c r="A56" s="22" t="s">
        <v>222</v>
      </c>
      <c r="C56" s="13"/>
      <c r="D56" s="55"/>
      <c r="E56" s="55"/>
      <c r="F56" s="61"/>
      <c r="G56" s="55"/>
      <c r="H56" s="55"/>
      <c r="I56" s="61"/>
      <c r="J56" s="55"/>
      <c r="K56" s="55"/>
      <c r="L56" s="61"/>
      <c r="M56" s="21"/>
      <c r="N56" s="55"/>
      <c r="O56" s="55"/>
      <c r="P56" s="61"/>
      <c r="Q56" s="32"/>
      <c r="R56" s="29"/>
      <c r="S56" s="41" t="s">
        <v>283</v>
      </c>
    </row>
    <row r="57" spans="1:19" ht="30" customHeight="1" x14ac:dyDescent="0.5">
      <c r="A57" s="8"/>
      <c r="B57" t="s">
        <v>3</v>
      </c>
      <c r="C57" s="13"/>
      <c r="D57" s="55">
        <f>AFR_Kort!D54</f>
        <v>5682</v>
      </c>
      <c r="E57" s="55">
        <f>AFR_Kort!E54</f>
        <v>0</v>
      </c>
      <c r="F57" s="61">
        <f>AFR_Kort!F54</f>
        <v>5682</v>
      </c>
      <c r="G57" s="55">
        <f>AFR_Kort!G54</f>
        <v>2907</v>
      </c>
      <c r="H57" s="55">
        <f>AFR_Kort!H54</f>
        <v>0</v>
      </c>
      <c r="I57" s="61">
        <f>AFR_Kort!I54</f>
        <v>2907</v>
      </c>
      <c r="J57" s="55">
        <f>AFR_Kort!J54</f>
        <v>15750</v>
      </c>
      <c r="K57" s="55">
        <f>AFR_Kort!K54</f>
        <v>0</v>
      </c>
      <c r="L57" s="61">
        <f>AFR_Kort!L54</f>
        <v>15750</v>
      </c>
      <c r="M57" s="21"/>
      <c r="N57" s="55">
        <f>AFR_Kort!N54</f>
        <v>0</v>
      </c>
      <c r="O57" s="55">
        <f>AFR_Kort!O54</f>
        <v>0</v>
      </c>
      <c r="P57" s="61">
        <f>AFR_Kort!P54</f>
        <v>0</v>
      </c>
      <c r="Q57" s="8"/>
      <c r="R57" s="29" t="s">
        <v>284</v>
      </c>
      <c r="S57" s="13"/>
    </row>
    <row r="58" spans="1:19" ht="30" customHeight="1" x14ac:dyDescent="0.5">
      <c r="A58" s="8"/>
      <c r="B58" t="s">
        <v>184</v>
      </c>
      <c r="C58" s="13"/>
      <c r="D58" s="55">
        <f>AFR_Kort!D55</f>
        <v>0</v>
      </c>
      <c r="E58" s="55">
        <f>AFR_Kort!E55</f>
        <v>0</v>
      </c>
      <c r="F58" s="61">
        <f>AFR_Kort!F55</f>
        <v>0</v>
      </c>
      <c r="G58" s="55">
        <f>AFR_Kort!G55</f>
        <v>0</v>
      </c>
      <c r="H58" s="55">
        <f>AFR_Kort!H55</f>
        <v>0</v>
      </c>
      <c r="I58" s="61">
        <f>AFR_Kort!I55</f>
        <v>0</v>
      </c>
      <c r="J58" s="55">
        <f>AFR_Kort!J55</f>
        <v>67952</v>
      </c>
      <c r="K58" s="55">
        <f>AFR_Kort!K55</f>
        <v>0</v>
      </c>
      <c r="L58" s="61">
        <f>AFR_Kort!L55</f>
        <v>67952</v>
      </c>
      <c r="M58" s="21"/>
      <c r="N58" s="55">
        <f>AFR_Kort!N55</f>
        <v>30827</v>
      </c>
      <c r="O58" s="55">
        <f>AFR_Kort!O55</f>
        <v>0</v>
      </c>
      <c r="P58" s="61">
        <f>AFR_Kort!P55</f>
        <v>30827</v>
      </c>
      <c r="Q58" s="8"/>
      <c r="R58" s="29" t="s">
        <v>285</v>
      </c>
      <c r="S58" s="13"/>
    </row>
    <row r="59" spans="1:19" ht="30" customHeight="1" x14ac:dyDescent="0.5">
      <c r="A59" s="8"/>
      <c r="B59" t="s">
        <v>186</v>
      </c>
      <c r="C59" s="13"/>
      <c r="D59" s="55">
        <f>AFR_Kort!D56</f>
        <v>2775</v>
      </c>
      <c r="E59" s="55">
        <f>AFR_Kort!E56</f>
        <v>0</v>
      </c>
      <c r="F59" s="61">
        <f>AFR_Kort!F56</f>
        <v>2775</v>
      </c>
      <c r="G59" s="55">
        <f>AFR_Kort!G56</f>
        <v>405</v>
      </c>
      <c r="H59" s="55">
        <f>AFR_Kort!H56</f>
        <v>0</v>
      </c>
      <c r="I59" s="61">
        <f>AFR_Kort!I56</f>
        <v>405</v>
      </c>
      <c r="J59" s="55">
        <f>AFR_Kort!J56</f>
        <v>81227</v>
      </c>
      <c r="K59" s="55">
        <f>AFR_Kort!K56</f>
        <v>0</v>
      </c>
      <c r="L59" s="61">
        <f>AFR_Kort!L56</f>
        <v>81227</v>
      </c>
      <c r="M59" s="21"/>
      <c r="N59" s="55">
        <f>AFR_Kort!N56</f>
        <v>15098</v>
      </c>
      <c r="O59" s="55">
        <f>AFR_Kort!O56</f>
        <v>0</v>
      </c>
      <c r="P59" s="61">
        <f>AFR_Kort!P56</f>
        <v>15098</v>
      </c>
      <c r="Q59" s="8"/>
      <c r="R59" s="29" t="s">
        <v>286</v>
      </c>
      <c r="S59" s="13"/>
    </row>
    <row r="60" spans="1:19" ht="30" customHeight="1" x14ac:dyDescent="0.5">
      <c r="A60" s="8"/>
      <c r="B60" t="s">
        <v>188</v>
      </c>
      <c r="C60" s="13"/>
      <c r="D60" s="54">
        <f>AFR_Kort!D57</f>
        <v>0</v>
      </c>
      <c r="E60" s="54">
        <f>AFR_Kort!E57</f>
        <v>0</v>
      </c>
      <c r="F60" s="62">
        <f>AFR_Kort!F57</f>
        <v>0</v>
      </c>
      <c r="G60" s="54">
        <f>AFR_Kort!G57</f>
        <v>0</v>
      </c>
      <c r="H60" s="54">
        <f>AFR_Kort!H57</f>
        <v>0</v>
      </c>
      <c r="I60" s="62">
        <f>AFR_Kort!I57</f>
        <v>0</v>
      </c>
      <c r="J60" s="54">
        <f>AFR_Kort!J57</f>
        <v>-27</v>
      </c>
      <c r="K60" s="54">
        <f>AFR_Kort!K57</f>
        <v>0</v>
      </c>
      <c r="L60" s="62">
        <f>AFR_Kort!L57</f>
        <v>-27</v>
      </c>
      <c r="M60" s="16"/>
      <c r="N60" s="54">
        <f>AFR_Kort!N57</f>
        <v>-21</v>
      </c>
      <c r="O60" s="54">
        <f>AFR_Kort!O57</f>
        <v>0</v>
      </c>
      <c r="P60" s="62">
        <f>AFR_Kort!P57</f>
        <v>-21</v>
      </c>
      <c r="Q60" s="8"/>
      <c r="R60" s="29" t="s">
        <v>287</v>
      </c>
      <c r="S60" s="13"/>
    </row>
    <row r="61" spans="1:19" ht="30" customHeight="1" x14ac:dyDescent="0.5">
      <c r="A61" s="9"/>
      <c r="B61" s="11" t="s">
        <v>29</v>
      </c>
      <c r="C61" s="14"/>
      <c r="D61" s="52">
        <f>AFR_Kort!D58</f>
        <v>2907</v>
      </c>
      <c r="E61" s="52">
        <f>AFR_Kort!E58</f>
        <v>0</v>
      </c>
      <c r="F61" s="63">
        <f>AFR_Kort!F58</f>
        <v>2907</v>
      </c>
      <c r="G61" s="52">
        <f>AFR_Kort!G58</f>
        <v>2502</v>
      </c>
      <c r="H61" s="52">
        <f>AFR_Kort!H58</f>
        <v>0</v>
      </c>
      <c r="I61" s="63">
        <f>AFR_Kort!I58</f>
        <v>2502</v>
      </c>
      <c r="J61" s="52">
        <f>AFR_Kort!J58</f>
        <v>2502</v>
      </c>
      <c r="K61" s="52">
        <f>AFR_Kort!K58</f>
        <v>0</v>
      </c>
      <c r="L61" s="63">
        <f>AFR_Kort!L58</f>
        <v>2502</v>
      </c>
      <c r="M61" s="20"/>
      <c r="N61" s="52">
        <f>AFR_Kort!N58</f>
        <v>15750</v>
      </c>
      <c r="O61" s="52">
        <f>AFR_Kort!O58</f>
        <v>0</v>
      </c>
      <c r="P61" s="63">
        <f>AFR_Kort!P58</f>
        <v>15750</v>
      </c>
      <c r="Q61" s="9"/>
      <c r="R61" s="40" t="s">
        <v>288</v>
      </c>
      <c r="S61" s="14"/>
    </row>
    <row r="62" spans="1:19" ht="9.75" customHeight="1" x14ac:dyDescent="0.5">
      <c r="A62" s="8"/>
      <c r="J62" s="48"/>
      <c r="S62" s="13"/>
    </row>
    <row r="63" spans="1:19" ht="30" customHeight="1" x14ac:dyDescent="0.5">
      <c r="A63" s="144" t="str">
        <f>AFR_Kort!A60</f>
        <v>Sorghum equivalent.</v>
      </c>
      <c r="B63" s="145"/>
      <c r="C63" s="145"/>
      <c r="D63" s="145"/>
      <c r="E63" s="145"/>
      <c r="F63" s="145"/>
      <c r="G63" s="145"/>
      <c r="H63" s="145"/>
      <c r="I63" s="145"/>
      <c r="J63" s="48" t="s">
        <v>227</v>
      </c>
      <c r="K63" s="140" t="s">
        <v>289</v>
      </c>
      <c r="L63" s="140"/>
      <c r="M63" s="140"/>
      <c r="N63" s="140"/>
      <c r="O63" s="140"/>
      <c r="P63" s="140"/>
      <c r="Q63" s="140"/>
      <c r="R63" s="140"/>
      <c r="S63" s="141"/>
    </row>
    <row r="64" spans="1:19" ht="30" customHeight="1" x14ac:dyDescent="0.5">
      <c r="A64" s="144" t="str">
        <f>AFR_Kort!A61</f>
        <v>The surplus/deficit figures are partly due to sorghum dispatched as sweet sorghum but received</v>
      </c>
      <c r="B64" s="145"/>
      <c r="C64" s="145"/>
      <c r="D64" s="145"/>
      <c r="E64" s="145"/>
      <c r="F64" s="145"/>
      <c r="G64" s="145"/>
      <c r="H64" s="145"/>
      <c r="I64" s="145"/>
      <c r="J64" s="48" t="s">
        <v>230</v>
      </c>
      <c r="K64" s="140" t="s">
        <v>290</v>
      </c>
      <c r="L64" s="140"/>
      <c r="M64" s="140"/>
      <c r="N64" s="140"/>
      <c r="O64" s="140"/>
      <c r="P64" s="140"/>
      <c r="Q64" s="140"/>
      <c r="R64" s="140"/>
      <c r="S64" s="141"/>
    </row>
    <row r="65" spans="1:19" ht="30" customHeight="1" x14ac:dyDescent="0.5">
      <c r="A65" s="144" t="str">
        <f>AFR_Kort!A62</f>
        <v>as bitter sorghum and vice versa and/or adjustments between sweet sorghum and bitter sorghum.</v>
      </c>
      <c r="B65" s="145"/>
      <c r="C65" s="145"/>
      <c r="D65" s="145"/>
      <c r="E65" s="145"/>
      <c r="F65" s="145"/>
      <c r="G65" s="145"/>
      <c r="H65" s="145"/>
      <c r="I65" s="145"/>
      <c r="J65" s="48"/>
      <c r="K65" s="140" t="s">
        <v>291</v>
      </c>
      <c r="L65" s="140"/>
      <c r="M65" s="140"/>
      <c r="N65" s="140"/>
      <c r="O65" s="140"/>
      <c r="P65" s="140"/>
      <c r="Q65" s="140"/>
      <c r="R65" s="140"/>
      <c r="S65" s="141"/>
    </row>
    <row r="66" spans="1:19" ht="30" customHeight="1" x14ac:dyDescent="0.5">
      <c r="A66" s="144" t="str">
        <f>AFR_Kort!A63</f>
        <v>Processed for drinkable alcohol included.</v>
      </c>
      <c r="B66" s="145"/>
      <c r="C66" s="145"/>
      <c r="D66" s="145"/>
      <c r="E66" s="145"/>
      <c r="F66" s="145"/>
      <c r="G66" s="145"/>
      <c r="H66" s="145"/>
      <c r="I66" s="145"/>
      <c r="J66" s="48" t="s">
        <v>235</v>
      </c>
      <c r="K66" s="140" t="s">
        <v>292</v>
      </c>
      <c r="L66" s="140"/>
      <c r="M66" s="140"/>
      <c r="N66" s="140"/>
      <c r="O66" s="140"/>
      <c r="P66" s="140"/>
      <c r="Q66" s="140"/>
      <c r="R66" s="140"/>
      <c r="S66" s="141"/>
    </row>
    <row r="67" spans="1:19" ht="30" customHeight="1" x14ac:dyDescent="0.5">
      <c r="A67" s="144" t="str">
        <f>AFR_Kort!A64</f>
        <v>Also refer to general footnotes.</v>
      </c>
      <c r="B67" s="145"/>
      <c r="C67" s="145"/>
      <c r="D67" s="145"/>
      <c r="E67" s="145"/>
      <c r="F67" s="145"/>
      <c r="G67" s="145"/>
      <c r="H67" s="145"/>
      <c r="I67" s="145"/>
      <c r="J67" s="48"/>
      <c r="K67" s="140" t="s">
        <v>293</v>
      </c>
      <c r="L67" s="140"/>
      <c r="M67" s="140"/>
      <c r="N67" s="140"/>
      <c r="O67" s="140"/>
      <c r="P67" s="140"/>
      <c r="Q67" s="140"/>
      <c r="R67" s="140"/>
      <c r="S67" s="141"/>
    </row>
    <row r="68" spans="1:19" x14ac:dyDescent="0.5">
      <c r="A68" s="9"/>
      <c r="B68" s="11"/>
      <c r="C68" s="11"/>
      <c r="D68" s="11"/>
      <c r="E68" s="11"/>
      <c r="F68" s="11"/>
      <c r="G68" s="11"/>
      <c r="H68" s="11"/>
      <c r="I68" s="11"/>
      <c r="J68" s="50"/>
      <c r="K68" s="11"/>
      <c r="L68" s="11"/>
      <c r="M68" s="11"/>
      <c r="N68" s="11"/>
      <c r="O68" s="11"/>
      <c r="P68" s="11"/>
      <c r="Q68" s="11"/>
      <c r="R68" s="11"/>
      <c r="S68" s="14"/>
    </row>
  </sheetData>
  <sheetProtection formatCells="0" formatColumns="0" formatRows="0" insertHyperlinks="0" deleteColumns="0" deleteRows="0" autoFilter="0" pivotTables="0"/>
  <protectedRanges>
    <protectedRange password="CE4B" sqref="A1:AZ5 A7:AZ60 A6:F6 J6:AZ6" name="p4d3879acbe5a9e266cad9e884a0e4b57"/>
    <protectedRange password="CE4B" sqref="G6:I6" name="p4d3879acbe5a9e266cad9e884a0e4b57_1"/>
  </protectedRanges>
  <mergeCells count="44">
    <mergeCell ref="D1:P1"/>
    <mergeCell ref="D2:P2"/>
    <mergeCell ref="D3:P3"/>
    <mergeCell ref="N4:P4"/>
    <mergeCell ref="N5:P5"/>
    <mergeCell ref="N6:P6"/>
    <mergeCell ref="A11:C11"/>
    <mergeCell ref="Q11:S11"/>
    <mergeCell ref="Q2:S2"/>
    <mergeCell ref="Q7:S7"/>
    <mergeCell ref="G4:I4"/>
    <mergeCell ref="G5:I5"/>
    <mergeCell ref="G6:I6"/>
    <mergeCell ref="J5:L5"/>
    <mergeCell ref="J6:L6"/>
    <mergeCell ref="J4:L4"/>
    <mergeCell ref="D6:F6"/>
    <mergeCell ref="D5:F5"/>
    <mergeCell ref="A10:C10"/>
    <mergeCell ref="Q10:S10"/>
    <mergeCell ref="D11:F11"/>
    <mergeCell ref="G11:I11"/>
    <mergeCell ref="J11:L11"/>
    <mergeCell ref="N11:P11"/>
    <mergeCell ref="J13:L13"/>
    <mergeCell ref="J14:L14"/>
    <mergeCell ref="J15:L15"/>
    <mergeCell ref="N13:P13"/>
    <mergeCell ref="N14:P14"/>
    <mergeCell ref="N15:P15"/>
    <mergeCell ref="D48:F48"/>
    <mergeCell ref="G48:I48"/>
    <mergeCell ref="J48:L48"/>
    <mergeCell ref="N48:P48"/>
    <mergeCell ref="K63:S63"/>
    <mergeCell ref="A63:I63"/>
    <mergeCell ref="A64:I64"/>
    <mergeCell ref="A65:I65"/>
    <mergeCell ref="A66:I66"/>
    <mergeCell ref="A67:I67"/>
    <mergeCell ref="K64:S64"/>
    <mergeCell ref="K65:S65"/>
    <mergeCell ref="K66:S66"/>
    <mergeCell ref="K67:S67"/>
  </mergeCells>
  <pageMargins left="1" right="1" top="0.6" bottom="0.75" header="0.3" footer="0.3"/>
  <pageSetup paperSize="9" scale="2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68"/>
  <sheetViews>
    <sheetView topLeftCell="A43" zoomScale="50" workbookViewId="0">
      <selection activeCell="N48" sqref="N48:P48"/>
    </sheetView>
  </sheetViews>
  <sheetFormatPr defaultRowHeight="28.2" x14ac:dyDescent="0.5"/>
  <cols>
    <col min="1" max="2" width="2.17578125" customWidth="1"/>
    <col min="3" max="3" width="32.17578125" customWidth="1"/>
    <col min="4" max="16" width="12" customWidth="1"/>
    <col min="17" max="17" width="49.17578125" customWidth="1"/>
    <col min="18" max="19" width="2.17578125" customWidth="1"/>
  </cols>
  <sheetData>
    <row r="1" spans="1:19" ht="30" customHeight="1" x14ac:dyDescent="0.5">
      <c r="A1" s="7"/>
      <c r="B1" s="10"/>
      <c r="C1" s="12"/>
      <c r="D1" s="135" t="s">
        <v>294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24"/>
      <c r="R1" s="10"/>
      <c r="S1" s="12"/>
    </row>
    <row r="2" spans="1:19" ht="30" customHeight="1" x14ac:dyDescent="0.5">
      <c r="A2" s="8"/>
      <c r="C2" s="13"/>
      <c r="D2" s="100" t="s">
        <v>295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Q2" s="100" t="str">
        <f>Langstaat!AQ3</f>
        <v>SMD-042017</v>
      </c>
      <c r="R2" s="101"/>
      <c r="S2" s="102"/>
    </row>
    <row r="3" spans="1:19" ht="30" customHeight="1" x14ac:dyDescent="0.5">
      <c r="A3" s="8"/>
      <c r="C3" s="13"/>
      <c r="D3" s="136" t="s">
        <v>474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7"/>
      <c r="Q3" s="22"/>
      <c r="S3" s="13"/>
    </row>
    <row r="4" spans="1:19" ht="30" customHeight="1" x14ac:dyDescent="0.5">
      <c r="A4" s="8"/>
      <c r="C4" s="13"/>
      <c r="D4" s="7"/>
      <c r="E4" s="10"/>
      <c r="F4" s="12"/>
      <c r="G4" s="122" t="s">
        <v>466</v>
      </c>
      <c r="H4" s="123"/>
      <c r="I4" s="124"/>
      <c r="J4" s="122" t="s">
        <v>296</v>
      </c>
      <c r="K4" s="123"/>
      <c r="L4" s="124"/>
      <c r="N4" s="122" t="str">
        <f>J4</f>
        <v>Progressive/Tswelelang pele</v>
      </c>
      <c r="O4" s="123"/>
      <c r="P4" s="124"/>
      <c r="Q4" s="22"/>
      <c r="S4" s="13"/>
    </row>
    <row r="5" spans="1:19" ht="30" customHeight="1" x14ac:dyDescent="0.5">
      <c r="A5" s="8"/>
      <c r="C5" s="13"/>
      <c r="D5" s="158" t="s">
        <v>464</v>
      </c>
      <c r="E5" s="101"/>
      <c r="F5" s="102"/>
      <c r="G5" s="158" t="s">
        <v>476</v>
      </c>
      <c r="H5" s="101"/>
      <c r="I5" s="102"/>
      <c r="J5" s="158" t="s">
        <v>460</v>
      </c>
      <c r="K5" s="101"/>
      <c r="L5" s="102"/>
      <c r="N5" s="162" t="s">
        <v>462</v>
      </c>
      <c r="O5" s="101"/>
      <c r="P5" s="102"/>
      <c r="Q5" s="22"/>
      <c r="S5" s="13"/>
    </row>
    <row r="6" spans="1:19" ht="30" customHeight="1" x14ac:dyDescent="0.5">
      <c r="A6" s="8"/>
      <c r="C6" s="13"/>
      <c r="D6" s="125" t="s">
        <v>475</v>
      </c>
      <c r="E6" s="126"/>
      <c r="F6" s="127"/>
      <c r="G6" s="125" t="s">
        <v>485</v>
      </c>
      <c r="H6" s="126"/>
      <c r="I6" s="127"/>
      <c r="J6" s="125" t="s">
        <v>477</v>
      </c>
      <c r="K6" s="126"/>
      <c r="L6" s="127"/>
      <c r="N6" s="157" t="s">
        <v>484</v>
      </c>
      <c r="O6" s="126"/>
      <c r="P6" s="127"/>
      <c r="Q6" s="22"/>
      <c r="S6" s="13"/>
    </row>
    <row r="7" spans="1:19" ht="30" customHeight="1" x14ac:dyDescent="0.5">
      <c r="A7" s="8"/>
      <c r="C7" s="13"/>
      <c r="D7" s="45" t="s">
        <v>198</v>
      </c>
      <c r="E7" s="45" t="s">
        <v>199</v>
      </c>
      <c r="F7" s="45"/>
      <c r="G7" s="45" t="s">
        <v>198</v>
      </c>
      <c r="H7" s="45" t="s">
        <v>199</v>
      </c>
      <c r="I7" s="45"/>
      <c r="J7" s="45" t="s">
        <v>198</v>
      </c>
      <c r="K7" s="45" t="s">
        <v>199</v>
      </c>
      <c r="L7" s="45"/>
      <c r="M7" s="45"/>
      <c r="N7" s="45" t="s">
        <v>198</v>
      </c>
      <c r="O7" s="45" t="s">
        <v>199</v>
      </c>
      <c r="P7" s="45"/>
      <c r="Q7" s="155" t="str">
        <f>Langstaat!AQ6</f>
        <v>2017-04-26</v>
      </c>
      <c r="R7" s="101"/>
      <c r="S7" s="102"/>
    </row>
    <row r="8" spans="1:19" ht="30" customHeight="1" x14ac:dyDescent="0.5">
      <c r="A8" s="8"/>
      <c r="C8" s="13"/>
      <c r="D8" s="64" t="s">
        <v>86</v>
      </c>
      <c r="E8" s="64" t="s">
        <v>88</v>
      </c>
      <c r="F8" s="64" t="s">
        <v>51</v>
      </c>
      <c r="G8" s="64" t="s">
        <v>86</v>
      </c>
      <c r="H8" s="64" t="s">
        <v>88</v>
      </c>
      <c r="I8" s="64" t="s">
        <v>51</v>
      </c>
      <c r="J8" s="64" t="s">
        <v>86</v>
      </c>
      <c r="K8" s="64" t="s">
        <v>88</v>
      </c>
      <c r="L8" s="64" t="s">
        <v>51</v>
      </c>
      <c r="M8" s="64" t="s">
        <v>200</v>
      </c>
      <c r="N8" s="64" t="s">
        <v>86</v>
      </c>
      <c r="O8" s="64" t="s">
        <v>88</v>
      </c>
      <c r="P8" s="64" t="s">
        <v>51</v>
      </c>
      <c r="Q8" s="22"/>
      <c r="S8" s="13"/>
    </row>
    <row r="9" spans="1:19" ht="30" customHeight="1" x14ac:dyDescent="0.5">
      <c r="A9" s="9"/>
      <c r="B9" s="11"/>
      <c r="C9" s="14"/>
      <c r="D9" s="46" t="s">
        <v>297</v>
      </c>
      <c r="E9" s="46" t="s">
        <v>298</v>
      </c>
      <c r="F9" s="46" t="s">
        <v>299</v>
      </c>
      <c r="G9" s="46" t="s">
        <v>297</v>
      </c>
      <c r="H9" s="46" t="s">
        <v>298</v>
      </c>
      <c r="I9" s="46" t="s">
        <v>299</v>
      </c>
      <c r="J9" s="46" t="s">
        <v>297</v>
      </c>
      <c r="K9" s="46" t="s">
        <v>298</v>
      </c>
      <c r="L9" s="46" t="s">
        <v>299</v>
      </c>
      <c r="M9" s="46" t="s">
        <v>202</v>
      </c>
      <c r="N9" s="46" t="s">
        <v>297</v>
      </c>
      <c r="O9" s="46" t="s">
        <v>298</v>
      </c>
      <c r="P9" s="46" t="s">
        <v>299</v>
      </c>
      <c r="Q9" s="23"/>
      <c r="R9" s="11"/>
      <c r="S9" s="27"/>
    </row>
    <row r="10" spans="1:19" ht="30" customHeight="1" x14ac:dyDescent="0.5">
      <c r="A10" s="160" t="s">
        <v>245</v>
      </c>
      <c r="B10" s="105"/>
      <c r="C10" s="106"/>
      <c r="D10" s="17"/>
      <c r="E10" s="18"/>
      <c r="F10" s="18"/>
      <c r="G10" s="18"/>
      <c r="H10" s="18"/>
      <c r="I10" s="18"/>
      <c r="J10" s="18"/>
      <c r="K10" s="18"/>
      <c r="L10" s="18"/>
      <c r="M10" s="51"/>
      <c r="N10" s="18"/>
      <c r="O10" s="18"/>
      <c r="P10" s="19"/>
      <c r="Q10" s="160" t="s">
        <v>300</v>
      </c>
      <c r="R10" s="105"/>
      <c r="S10" s="161"/>
    </row>
    <row r="11" spans="1:19" ht="30" customHeight="1" x14ac:dyDescent="0.5">
      <c r="A11" s="158" t="s">
        <v>72</v>
      </c>
      <c r="B11" s="101"/>
      <c r="C11" s="101"/>
      <c r="D11" s="104" t="s">
        <v>481</v>
      </c>
      <c r="E11" s="105"/>
      <c r="F11" s="106"/>
      <c r="G11" s="104" t="s">
        <v>482</v>
      </c>
      <c r="H11" s="105"/>
      <c r="I11" s="106"/>
      <c r="J11" s="104" t="s">
        <v>301</v>
      </c>
      <c r="K11" s="105"/>
      <c r="L11" s="106"/>
      <c r="M11" s="67"/>
      <c r="N11" s="146" t="s">
        <v>483</v>
      </c>
      <c r="O11" s="105"/>
      <c r="P11" s="106"/>
      <c r="Q11" s="101" t="s">
        <v>302</v>
      </c>
      <c r="R11" s="101"/>
      <c r="S11" s="159"/>
    </row>
    <row r="12" spans="1:19" ht="30" customHeight="1" x14ac:dyDescent="0.5">
      <c r="A12" s="22" t="s">
        <v>102</v>
      </c>
      <c r="D12" s="52">
        <f>AFR_Kort!D11</f>
        <v>54262</v>
      </c>
      <c r="E12" s="52">
        <f>AFR_Kort!E11</f>
        <v>7622</v>
      </c>
      <c r="F12" s="52">
        <f>AFR_Kort!F11</f>
        <v>61884</v>
      </c>
      <c r="G12" s="52">
        <f>AFR_Kort!G11</f>
        <v>43736</v>
      </c>
      <c r="H12" s="52">
        <f>AFR_Kort!H11</f>
        <v>4107</v>
      </c>
      <c r="I12" s="52">
        <f>AFR_Kort!I11</f>
        <v>47843</v>
      </c>
      <c r="J12" s="52">
        <f>AFR_Kort!J11</f>
        <v>57445</v>
      </c>
      <c r="K12" s="52">
        <f>AFR_Kort!K11</f>
        <v>25697</v>
      </c>
      <c r="L12" s="52">
        <f>AFR_Kort!L11</f>
        <v>83142</v>
      </c>
      <c r="M12" s="67">
        <f>ROUND(IFERROR((L12-P12)/P12*100,IF(L12-P12=0,0,100)),1)</f>
        <v>-31.7</v>
      </c>
      <c r="N12" s="52">
        <f>AFR_Kort!N11</f>
        <v>66266</v>
      </c>
      <c r="O12" s="52">
        <f>AFR_Kort!O11</f>
        <v>55546</v>
      </c>
      <c r="P12" s="52">
        <f>AFR_Kort!P11</f>
        <v>121812</v>
      </c>
      <c r="Q12" s="29"/>
      <c r="R12" s="29"/>
      <c r="S12" s="41" t="s">
        <v>303</v>
      </c>
    </row>
    <row r="13" spans="1:19" ht="30" customHeight="1" x14ac:dyDescent="0.5">
      <c r="A13" s="22"/>
      <c r="D13" s="2"/>
      <c r="E13" s="2"/>
      <c r="F13" s="2"/>
      <c r="G13" s="2"/>
      <c r="H13" s="2"/>
      <c r="I13" s="2"/>
      <c r="J13" s="103" t="str">
        <f>J4</f>
        <v>Progressive/Tswelelang pele</v>
      </c>
      <c r="K13" s="103"/>
      <c r="L13" s="103"/>
      <c r="M13" s="68"/>
      <c r="N13" s="103" t="str">
        <f>N4</f>
        <v>Progressive/Tswelelang pele</v>
      </c>
      <c r="O13" s="103"/>
      <c r="P13" s="103"/>
      <c r="Q13" s="29"/>
      <c r="R13" s="29"/>
      <c r="S13" s="41"/>
    </row>
    <row r="14" spans="1:19" ht="30" customHeight="1" x14ac:dyDescent="0.5">
      <c r="A14" s="22"/>
      <c r="D14" s="2"/>
      <c r="E14" s="2"/>
      <c r="F14" s="2"/>
      <c r="G14" s="2"/>
      <c r="H14" s="2"/>
      <c r="I14" s="2"/>
      <c r="J14" s="103" t="str">
        <f>J5</f>
        <v>March 2016 - February 2017</v>
      </c>
      <c r="K14" s="103"/>
      <c r="L14" s="103"/>
      <c r="M14" s="68"/>
      <c r="N14" s="103" t="str">
        <f>N5</f>
        <v>March 2015 - February 2016</v>
      </c>
      <c r="O14" s="103"/>
      <c r="P14" s="103"/>
      <c r="Q14" s="29"/>
      <c r="R14" s="29"/>
      <c r="S14" s="41"/>
    </row>
    <row r="15" spans="1:19" ht="30" customHeight="1" x14ac:dyDescent="0.5">
      <c r="A15" s="22"/>
      <c r="D15" s="2"/>
      <c r="E15" s="2"/>
      <c r="F15" s="2"/>
      <c r="G15" s="2"/>
      <c r="H15" s="2"/>
      <c r="I15" s="2"/>
      <c r="J15" s="103" t="str">
        <f>J6</f>
        <v>Mopitlwe 2016 - Tlhakole 2017</v>
      </c>
      <c r="K15" s="103"/>
      <c r="L15" s="103"/>
      <c r="M15" s="68"/>
      <c r="N15" s="103" t="str">
        <f>N6</f>
        <v>Mopitlwe 2015 - Tlhakole 2016</v>
      </c>
      <c r="O15" s="103"/>
      <c r="P15" s="103"/>
      <c r="Q15" s="29"/>
      <c r="R15" s="29"/>
      <c r="S15" s="41"/>
    </row>
    <row r="16" spans="1:19" ht="30" customHeight="1" x14ac:dyDescent="0.5">
      <c r="A16" s="22" t="s">
        <v>104</v>
      </c>
      <c r="D16" s="52">
        <f>AFR_Kort!D13</f>
        <v>1472</v>
      </c>
      <c r="E16" s="52">
        <f>AFR_Kort!E13</f>
        <v>34</v>
      </c>
      <c r="F16" s="52">
        <f>AFR_Kort!F13</f>
        <v>1506</v>
      </c>
      <c r="G16" s="52">
        <f>AFR_Kort!G13</f>
        <v>792</v>
      </c>
      <c r="H16" s="52">
        <f>AFR_Kort!H13</f>
        <v>0</v>
      </c>
      <c r="I16" s="52">
        <f>AFR_Kort!I13</f>
        <v>792</v>
      </c>
      <c r="J16" s="52">
        <f>AFR_Kort!J13</f>
        <v>127558</v>
      </c>
      <c r="K16" s="52">
        <f>AFR_Kort!K13</f>
        <v>15977</v>
      </c>
      <c r="L16" s="52">
        <f>AFR_Kort!L13</f>
        <v>143535</v>
      </c>
      <c r="M16" s="67">
        <f>ROUND(IFERROR((L16-P16)/P16*100,IF(L16-P16=0,0,100)),1)</f>
        <v>-7.1</v>
      </c>
      <c r="N16" s="52">
        <f>AFR_Kort!N13</f>
        <v>133505</v>
      </c>
      <c r="O16" s="52">
        <f>AFR_Kort!O13</f>
        <v>21042</v>
      </c>
      <c r="P16" s="52">
        <f>AFR_Kort!P13</f>
        <v>154547</v>
      </c>
      <c r="Q16" s="29"/>
      <c r="R16" s="29"/>
      <c r="S16" s="41" t="s">
        <v>304</v>
      </c>
    </row>
    <row r="17" spans="1:19" ht="30" customHeight="1" x14ac:dyDescent="0.5">
      <c r="A17" s="22"/>
      <c r="B17" s="7" t="s">
        <v>106</v>
      </c>
      <c r="C17" s="10"/>
      <c r="D17" s="53">
        <f>AFR_Kort!D14</f>
        <v>1447</v>
      </c>
      <c r="E17" s="53">
        <f>AFR_Kort!E14</f>
        <v>34</v>
      </c>
      <c r="F17" s="53">
        <f>AFR_Kort!F14</f>
        <v>1481</v>
      </c>
      <c r="G17" s="53">
        <f>AFR_Kort!G14</f>
        <v>792</v>
      </c>
      <c r="H17" s="53">
        <f>AFR_Kort!H14</f>
        <v>0</v>
      </c>
      <c r="I17" s="53">
        <f>AFR_Kort!I14</f>
        <v>792</v>
      </c>
      <c r="J17" s="53">
        <f>AFR_Kort!J14</f>
        <v>52601</v>
      </c>
      <c r="K17" s="53">
        <f>AFR_Kort!K14</f>
        <v>15977</v>
      </c>
      <c r="L17" s="53">
        <f>AFR_Kort!L14</f>
        <v>68578</v>
      </c>
      <c r="M17" s="69">
        <f>ROUND(IFERROR((L17-P17)/P17*100,IF(L17-P17=0,0,100)),1)</f>
        <v>-43</v>
      </c>
      <c r="N17" s="53">
        <f>AFR_Kort!N14</f>
        <v>99189</v>
      </c>
      <c r="O17" s="53">
        <f>AFR_Kort!O14</f>
        <v>21042</v>
      </c>
      <c r="P17" s="53">
        <f>AFR_Kort!P14</f>
        <v>120231</v>
      </c>
      <c r="Q17" s="39"/>
      <c r="R17" s="36" t="s">
        <v>305</v>
      </c>
      <c r="S17" s="41"/>
    </row>
    <row r="18" spans="1:19" ht="30" customHeight="1" x14ac:dyDescent="0.5">
      <c r="A18" s="22"/>
      <c r="B18" s="9" t="s">
        <v>108</v>
      </c>
      <c r="C18" s="11"/>
      <c r="D18" s="54">
        <f>AFR_Kort!D15</f>
        <v>25</v>
      </c>
      <c r="E18" s="54">
        <f>AFR_Kort!E15</f>
        <v>0</v>
      </c>
      <c r="F18" s="54">
        <f>AFR_Kort!F15</f>
        <v>25</v>
      </c>
      <c r="G18" s="54">
        <f>AFR_Kort!G15</f>
        <v>0</v>
      </c>
      <c r="H18" s="54">
        <f>AFR_Kort!H15</f>
        <v>0</v>
      </c>
      <c r="I18" s="54">
        <f>AFR_Kort!I15</f>
        <v>0</v>
      </c>
      <c r="J18" s="54">
        <f>AFR_Kort!J15</f>
        <v>74957</v>
      </c>
      <c r="K18" s="54">
        <f>AFR_Kort!K15</f>
        <v>0</v>
      </c>
      <c r="L18" s="54">
        <f>AFR_Kort!L15</f>
        <v>74957</v>
      </c>
      <c r="M18" s="70">
        <f>ROUND(IFERROR((L18-P18)/P18*100,IF(L18-P18=0,0,100)),1)</f>
        <v>118.4</v>
      </c>
      <c r="N18" s="54">
        <f>AFR_Kort!N15</f>
        <v>34316</v>
      </c>
      <c r="O18" s="54">
        <f>AFR_Kort!O15</f>
        <v>0</v>
      </c>
      <c r="P18" s="54">
        <f>AFR_Kort!P15</f>
        <v>34316</v>
      </c>
      <c r="Q18" s="40"/>
      <c r="R18" s="37" t="s">
        <v>306</v>
      </c>
      <c r="S18" s="41"/>
    </row>
    <row r="19" spans="1:19" ht="9.75" customHeight="1" x14ac:dyDescent="0.5">
      <c r="A19" s="22"/>
      <c r="D19" s="2"/>
      <c r="E19" s="2"/>
      <c r="F19" s="2"/>
      <c r="G19" s="2"/>
      <c r="H19" s="2"/>
      <c r="I19" s="2"/>
      <c r="J19" s="2"/>
      <c r="K19" s="2"/>
      <c r="L19" s="2"/>
      <c r="M19" s="68"/>
      <c r="N19" s="2"/>
      <c r="O19" s="2"/>
      <c r="P19" s="2"/>
      <c r="Q19" s="29"/>
      <c r="R19" s="29"/>
      <c r="S19" s="41"/>
    </row>
    <row r="20" spans="1:19" ht="30" customHeight="1" x14ac:dyDescent="0.5">
      <c r="A20" s="22" t="s">
        <v>110</v>
      </c>
      <c r="D20" s="52">
        <f>AFR_Kort!D17</f>
        <v>9328</v>
      </c>
      <c r="E20" s="52">
        <f>AFR_Kort!E17</f>
        <v>3881</v>
      </c>
      <c r="F20" s="52">
        <f>AFR_Kort!F17</f>
        <v>13209</v>
      </c>
      <c r="G20" s="52">
        <f>AFR_Kort!G17</f>
        <v>12216</v>
      </c>
      <c r="H20" s="52">
        <f>AFR_Kort!H17</f>
        <v>514</v>
      </c>
      <c r="I20" s="52">
        <f>AFR_Kort!I17</f>
        <v>12730</v>
      </c>
      <c r="J20" s="52">
        <f>AFR_Kort!J17</f>
        <v>138095</v>
      </c>
      <c r="K20" s="52">
        <f>AFR_Kort!K17</f>
        <v>34073</v>
      </c>
      <c r="L20" s="52">
        <f>AFR_Kort!L17</f>
        <v>172168</v>
      </c>
      <c r="M20" s="67">
        <f t="shared" ref="M20:M34" si="0">ROUND(IFERROR((L20-P20)/P20*100,IF(L20-P20=0,0,100)),1)</f>
        <v>4.3</v>
      </c>
      <c r="N20" s="52">
        <f>AFR_Kort!N17</f>
        <v>117408</v>
      </c>
      <c r="O20" s="52">
        <f>AFR_Kort!O17</f>
        <v>47593</v>
      </c>
      <c r="P20" s="52">
        <f>AFR_Kort!P17</f>
        <v>165001</v>
      </c>
      <c r="Q20" s="29"/>
      <c r="R20" s="29"/>
      <c r="S20" s="41" t="s">
        <v>307</v>
      </c>
    </row>
    <row r="21" spans="1:19" ht="30" customHeight="1" x14ac:dyDescent="0.5">
      <c r="A21" s="22"/>
      <c r="B21" s="7" t="s">
        <v>204</v>
      </c>
      <c r="C21" s="10"/>
      <c r="D21" s="52">
        <f>AFR_Kort!D18</f>
        <v>9251</v>
      </c>
      <c r="E21" s="52">
        <f>AFR_Kort!E18</f>
        <v>3881</v>
      </c>
      <c r="F21" s="52">
        <f>AFR_Kort!F18</f>
        <v>13132</v>
      </c>
      <c r="G21" s="52">
        <f>AFR_Kort!G18</f>
        <v>12144</v>
      </c>
      <c r="H21" s="52">
        <f>AFR_Kort!H18</f>
        <v>514</v>
      </c>
      <c r="I21" s="52">
        <f>AFR_Kort!I18</f>
        <v>12658</v>
      </c>
      <c r="J21" s="52">
        <f>AFR_Kort!J18</f>
        <v>136753</v>
      </c>
      <c r="K21" s="52">
        <f>AFR_Kort!K18</f>
        <v>33562</v>
      </c>
      <c r="L21" s="52">
        <f>AFR_Kort!L18</f>
        <v>170315</v>
      </c>
      <c r="M21" s="67">
        <f t="shared" si="0"/>
        <v>6.6</v>
      </c>
      <c r="N21" s="52">
        <f>AFR_Kort!N18</f>
        <v>114499</v>
      </c>
      <c r="O21" s="52">
        <f>AFR_Kort!O18</f>
        <v>45325</v>
      </c>
      <c r="P21" s="52">
        <f>AFR_Kort!P18</f>
        <v>159824</v>
      </c>
      <c r="Q21" s="39"/>
      <c r="R21" s="36" t="s">
        <v>308</v>
      </c>
      <c r="S21" s="41"/>
    </row>
    <row r="22" spans="1:19" ht="30" customHeight="1" x14ac:dyDescent="0.5">
      <c r="A22" s="22"/>
      <c r="B22" s="8"/>
      <c r="C22" t="s">
        <v>206</v>
      </c>
      <c r="D22" s="52">
        <f>AFR_Kort!D19</f>
        <v>8641</v>
      </c>
      <c r="E22" s="52">
        <f>AFR_Kort!E19</f>
        <v>3722</v>
      </c>
      <c r="F22" s="52">
        <f>AFR_Kort!F19</f>
        <v>12363</v>
      </c>
      <c r="G22" s="52">
        <f>AFR_Kort!G19</f>
        <v>11546</v>
      </c>
      <c r="H22" s="52">
        <f>AFR_Kort!H19</f>
        <v>467</v>
      </c>
      <c r="I22" s="52">
        <f>AFR_Kort!I19</f>
        <v>12013</v>
      </c>
      <c r="J22" s="52">
        <f>AFR_Kort!J19</f>
        <v>129495</v>
      </c>
      <c r="K22" s="52">
        <f>AFR_Kort!K19</f>
        <v>31109</v>
      </c>
      <c r="L22" s="52">
        <f>AFR_Kort!L19</f>
        <v>160604</v>
      </c>
      <c r="M22" s="67">
        <f t="shared" si="0"/>
        <v>7.5</v>
      </c>
      <c r="N22" s="52">
        <f>AFR_Kort!N19</f>
        <v>107509</v>
      </c>
      <c r="O22" s="52">
        <f>AFR_Kort!O19</f>
        <v>41902</v>
      </c>
      <c r="P22" s="52">
        <f>AFR_Kort!P19</f>
        <v>149411</v>
      </c>
      <c r="Q22" s="29" t="s">
        <v>309</v>
      </c>
      <c r="R22" s="38"/>
      <c r="S22" s="41"/>
    </row>
    <row r="23" spans="1:19" ht="30" customHeight="1" x14ac:dyDescent="0.5">
      <c r="A23" s="22"/>
      <c r="B23" s="8"/>
      <c r="C23" s="7" t="s">
        <v>116</v>
      </c>
      <c r="D23" s="53">
        <f>AFR_Kort!D20</f>
        <v>517</v>
      </c>
      <c r="E23" s="53">
        <f>AFR_Kort!E20</f>
        <v>424</v>
      </c>
      <c r="F23" s="53">
        <f>AFR_Kort!F20</f>
        <v>941</v>
      </c>
      <c r="G23" s="53">
        <f>AFR_Kort!G20</f>
        <v>633</v>
      </c>
      <c r="H23" s="53">
        <f>AFR_Kort!H20</f>
        <v>275</v>
      </c>
      <c r="I23" s="53">
        <f>AFR_Kort!I20</f>
        <v>908</v>
      </c>
      <c r="J23" s="53">
        <f>AFR_Kort!J20</f>
        <v>3614</v>
      </c>
      <c r="K23" s="53">
        <f>AFR_Kort!K20</f>
        <v>8092</v>
      </c>
      <c r="L23" s="53">
        <f>AFR_Kort!L20</f>
        <v>11706</v>
      </c>
      <c r="M23" s="69">
        <f t="shared" si="0"/>
        <v>5.4</v>
      </c>
      <c r="N23" s="53">
        <f>AFR_Kort!N20</f>
        <v>246</v>
      </c>
      <c r="O23" s="53">
        <f>AFR_Kort!O20</f>
        <v>10859</v>
      </c>
      <c r="P23" s="53">
        <f>AFR_Kort!P20</f>
        <v>11105</v>
      </c>
      <c r="Q23" s="36" t="s">
        <v>310</v>
      </c>
      <c r="R23" s="38"/>
      <c r="S23" s="41"/>
    </row>
    <row r="24" spans="1:19" ht="30" customHeight="1" x14ac:dyDescent="0.5">
      <c r="A24" s="22"/>
      <c r="B24" s="8"/>
      <c r="C24" s="8" t="s">
        <v>118</v>
      </c>
      <c r="D24" s="55">
        <f>AFR_Kort!D21</f>
        <v>1173</v>
      </c>
      <c r="E24" s="55">
        <f>AFR_Kort!E21</f>
        <v>3298</v>
      </c>
      <c r="F24" s="55">
        <f>AFR_Kort!F21</f>
        <v>4471</v>
      </c>
      <c r="G24" s="55">
        <f>AFR_Kort!G21</f>
        <v>3735</v>
      </c>
      <c r="H24" s="55">
        <f>AFR_Kort!H21</f>
        <v>192</v>
      </c>
      <c r="I24" s="55">
        <f>AFR_Kort!I21</f>
        <v>3927</v>
      </c>
      <c r="J24" s="55">
        <f>AFR_Kort!J21</f>
        <v>28518</v>
      </c>
      <c r="K24" s="55">
        <f>AFR_Kort!K21</f>
        <v>22508</v>
      </c>
      <c r="L24" s="55">
        <f>AFR_Kort!L21</f>
        <v>51026</v>
      </c>
      <c r="M24" s="71">
        <f t="shared" si="0"/>
        <v>1.5</v>
      </c>
      <c r="N24" s="55">
        <f>AFR_Kort!N21</f>
        <v>20041</v>
      </c>
      <c r="O24" s="55">
        <f>AFR_Kort!O21</f>
        <v>30224</v>
      </c>
      <c r="P24" s="55">
        <f>AFR_Kort!P21</f>
        <v>50265</v>
      </c>
      <c r="Q24" s="38" t="s">
        <v>311</v>
      </c>
      <c r="R24" s="38"/>
      <c r="S24" s="41"/>
    </row>
    <row r="25" spans="1:19" ht="30" customHeight="1" x14ac:dyDescent="0.5">
      <c r="A25" s="22"/>
      <c r="B25" s="8"/>
      <c r="C25" s="8" t="s">
        <v>120</v>
      </c>
      <c r="D25" s="55">
        <f>AFR_Kort!D22</f>
        <v>6951</v>
      </c>
      <c r="E25" s="55">
        <f>AFR_Kort!E22</f>
        <v>0</v>
      </c>
      <c r="F25" s="55">
        <f>AFR_Kort!F22</f>
        <v>6951</v>
      </c>
      <c r="G25" s="55">
        <f>AFR_Kort!G22</f>
        <v>7178</v>
      </c>
      <c r="H25" s="55">
        <f>AFR_Kort!H22</f>
        <v>0</v>
      </c>
      <c r="I25" s="55">
        <f>AFR_Kort!I22</f>
        <v>7178</v>
      </c>
      <c r="J25" s="55">
        <f>AFR_Kort!J22</f>
        <v>97363</v>
      </c>
      <c r="K25" s="55">
        <f>AFR_Kort!K22</f>
        <v>509</v>
      </c>
      <c r="L25" s="55">
        <f>AFR_Kort!L22</f>
        <v>97872</v>
      </c>
      <c r="M25" s="71">
        <f t="shared" si="0"/>
        <v>11.2</v>
      </c>
      <c r="N25" s="55">
        <f>AFR_Kort!N22</f>
        <v>87222</v>
      </c>
      <c r="O25" s="55">
        <f>AFR_Kort!O22</f>
        <v>819</v>
      </c>
      <c r="P25" s="55">
        <f>AFR_Kort!P22</f>
        <v>88041</v>
      </c>
      <c r="Q25" s="38" t="s">
        <v>312</v>
      </c>
      <c r="R25" s="38"/>
      <c r="S25" s="41"/>
    </row>
    <row r="26" spans="1:19" ht="30" customHeight="1" x14ac:dyDescent="0.5">
      <c r="A26" s="22"/>
      <c r="B26" s="8"/>
      <c r="C26" s="8" t="s">
        <v>207</v>
      </c>
      <c r="D26" s="55">
        <f>AFR_Kort!D23</f>
        <v>0</v>
      </c>
      <c r="E26" s="55">
        <f>AFR_Kort!E23</f>
        <v>0</v>
      </c>
      <c r="F26" s="55">
        <f>AFR_Kort!F23</f>
        <v>0</v>
      </c>
      <c r="G26" s="55">
        <f>AFR_Kort!G23</f>
        <v>0</v>
      </c>
      <c r="H26" s="55">
        <f>AFR_Kort!H23</f>
        <v>0</v>
      </c>
      <c r="I26" s="55">
        <f>AFR_Kort!I23</f>
        <v>0</v>
      </c>
      <c r="J26" s="55">
        <f>AFR_Kort!J23</f>
        <v>0</v>
      </c>
      <c r="K26" s="55">
        <f>AFR_Kort!K23</f>
        <v>0</v>
      </c>
      <c r="L26" s="55">
        <f>AFR_Kort!L23</f>
        <v>0</v>
      </c>
      <c r="M26" s="71">
        <f t="shared" si="0"/>
        <v>0</v>
      </c>
      <c r="N26" s="55">
        <f>AFR_Kort!N23</f>
        <v>0</v>
      </c>
      <c r="O26" s="55">
        <f>AFR_Kort!O23</f>
        <v>0</v>
      </c>
      <c r="P26" s="55">
        <f>AFR_Kort!P23</f>
        <v>0</v>
      </c>
      <c r="Q26" s="38" t="s">
        <v>313</v>
      </c>
      <c r="R26" s="38"/>
      <c r="S26" s="41"/>
    </row>
    <row r="27" spans="1:19" ht="30" customHeight="1" x14ac:dyDescent="0.5">
      <c r="A27" s="22"/>
      <c r="B27" s="8"/>
      <c r="C27" s="9" t="s">
        <v>208</v>
      </c>
      <c r="D27" s="54">
        <f>AFR_Kort!D24</f>
        <v>0</v>
      </c>
      <c r="E27" s="54">
        <f>AFR_Kort!E24</f>
        <v>0</v>
      </c>
      <c r="F27" s="54">
        <f>AFR_Kort!F24</f>
        <v>0</v>
      </c>
      <c r="G27" s="54">
        <f>AFR_Kort!G24</f>
        <v>0</v>
      </c>
      <c r="H27" s="54">
        <f>AFR_Kort!H24</f>
        <v>0</v>
      </c>
      <c r="I27" s="54">
        <f>AFR_Kort!I24</f>
        <v>0</v>
      </c>
      <c r="J27" s="54">
        <f>AFR_Kort!J24</f>
        <v>0</v>
      </c>
      <c r="K27" s="54">
        <f>AFR_Kort!K24</f>
        <v>0</v>
      </c>
      <c r="L27" s="54">
        <f>AFR_Kort!L24</f>
        <v>0</v>
      </c>
      <c r="M27" s="70">
        <f t="shared" si="0"/>
        <v>0</v>
      </c>
      <c r="N27" s="54">
        <f>AFR_Kort!N24</f>
        <v>0</v>
      </c>
      <c r="O27" s="54">
        <f>AFR_Kort!O24</f>
        <v>0</v>
      </c>
      <c r="P27" s="54">
        <f>AFR_Kort!P24</f>
        <v>0</v>
      </c>
      <c r="Q27" s="37" t="s">
        <v>314</v>
      </c>
      <c r="R27" s="38"/>
      <c r="S27" s="41"/>
    </row>
    <row r="28" spans="1:19" ht="30" customHeight="1" x14ac:dyDescent="0.5">
      <c r="A28" s="22"/>
      <c r="B28" s="8"/>
      <c r="C28" t="s">
        <v>126</v>
      </c>
      <c r="D28" s="52">
        <f>AFR_Kort!D25</f>
        <v>610</v>
      </c>
      <c r="E28" s="52">
        <f>AFR_Kort!E25</f>
        <v>159</v>
      </c>
      <c r="F28" s="52">
        <f>AFR_Kort!F25</f>
        <v>769</v>
      </c>
      <c r="G28" s="52">
        <f>AFR_Kort!G25</f>
        <v>598</v>
      </c>
      <c r="H28" s="52">
        <f>AFR_Kort!H25</f>
        <v>47</v>
      </c>
      <c r="I28" s="52">
        <f>AFR_Kort!I25</f>
        <v>645</v>
      </c>
      <c r="J28" s="52">
        <f>AFR_Kort!J25</f>
        <v>7258</v>
      </c>
      <c r="K28" s="52">
        <f>AFR_Kort!K25</f>
        <v>2453</v>
      </c>
      <c r="L28" s="52">
        <f>AFR_Kort!L25</f>
        <v>9711</v>
      </c>
      <c r="M28" s="67">
        <f t="shared" si="0"/>
        <v>-6.7</v>
      </c>
      <c r="N28" s="52">
        <f>AFR_Kort!N25</f>
        <v>6990</v>
      </c>
      <c r="O28" s="52">
        <f>AFR_Kort!O25</f>
        <v>3423</v>
      </c>
      <c r="P28" s="52">
        <f>AFR_Kort!P25</f>
        <v>10413</v>
      </c>
      <c r="Q28" s="29" t="s">
        <v>315</v>
      </c>
      <c r="R28" s="38"/>
      <c r="S28" s="41"/>
    </row>
    <row r="29" spans="1:19" ht="30" customHeight="1" x14ac:dyDescent="0.5">
      <c r="A29" s="22"/>
      <c r="B29" s="8"/>
      <c r="C29" s="7" t="s">
        <v>128</v>
      </c>
      <c r="D29" s="53">
        <f>AFR_Kort!D26</f>
        <v>72</v>
      </c>
      <c r="E29" s="53">
        <f>AFR_Kort!E26</f>
        <v>0</v>
      </c>
      <c r="F29" s="53">
        <f>AFR_Kort!F26</f>
        <v>72</v>
      </c>
      <c r="G29" s="53">
        <f>AFR_Kort!G26</f>
        <v>62</v>
      </c>
      <c r="H29" s="53">
        <f>AFR_Kort!H26</f>
        <v>0</v>
      </c>
      <c r="I29" s="53">
        <f>AFR_Kort!I26</f>
        <v>62</v>
      </c>
      <c r="J29" s="53">
        <f>AFR_Kort!J26</f>
        <v>937</v>
      </c>
      <c r="K29" s="53">
        <f>AFR_Kort!K26</f>
        <v>64</v>
      </c>
      <c r="L29" s="53">
        <f>AFR_Kort!L26</f>
        <v>1001</v>
      </c>
      <c r="M29" s="69">
        <f t="shared" si="0"/>
        <v>-2.7</v>
      </c>
      <c r="N29" s="53">
        <f>AFR_Kort!N26</f>
        <v>1029</v>
      </c>
      <c r="O29" s="53">
        <f>AFR_Kort!O26</f>
        <v>0</v>
      </c>
      <c r="P29" s="53">
        <f>AFR_Kort!P26</f>
        <v>1029</v>
      </c>
      <c r="Q29" s="36" t="s">
        <v>316</v>
      </c>
      <c r="R29" s="38"/>
      <c r="S29" s="41"/>
    </row>
    <row r="30" spans="1:19" ht="30" customHeight="1" x14ac:dyDescent="0.5">
      <c r="A30" s="22"/>
      <c r="B30" s="8"/>
      <c r="C30" s="8" t="s">
        <v>209</v>
      </c>
      <c r="D30" s="55">
        <f>AFR_Kort!D27</f>
        <v>298</v>
      </c>
      <c r="E30" s="55">
        <f>AFR_Kort!E27</f>
        <v>3</v>
      </c>
      <c r="F30" s="55">
        <f>AFR_Kort!F27</f>
        <v>301</v>
      </c>
      <c r="G30" s="55">
        <f>AFR_Kort!G27</f>
        <v>337</v>
      </c>
      <c r="H30" s="55">
        <f>AFR_Kort!H27</f>
        <v>45</v>
      </c>
      <c r="I30" s="55">
        <f>AFR_Kort!I27</f>
        <v>382</v>
      </c>
      <c r="J30" s="55">
        <f>AFR_Kort!J27</f>
        <v>3227</v>
      </c>
      <c r="K30" s="55">
        <f>AFR_Kort!K27</f>
        <v>760</v>
      </c>
      <c r="L30" s="55">
        <f>AFR_Kort!L27</f>
        <v>3987</v>
      </c>
      <c r="M30" s="71">
        <f t="shared" si="0"/>
        <v>1</v>
      </c>
      <c r="N30" s="55">
        <f>AFR_Kort!N27</f>
        <v>2714</v>
      </c>
      <c r="O30" s="55">
        <f>AFR_Kort!O27</f>
        <v>1234</v>
      </c>
      <c r="P30" s="55">
        <f>AFR_Kort!P27</f>
        <v>3948</v>
      </c>
      <c r="Q30" s="38" t="s">
        <v>317</v>
      </c>
      <c r="R30" s="38"/>
      <c r="S30" s="41"/>
    </row>
    <row r="31" spans="1:19" ht="30" customHeight="1" x14ac:dyDescent="0.5">
      <c r="A31" s="22"/>
      <c r="B31" s="8"/>
      <c r="C31" s="9" t="s">
        <v>210</v>
      </c>
      <c r="D31" s="54">
        <f>AFR_Kort!D28</f>
        <v>240</v>
      </c>
      <c r="E31" s="54">
        <f>AFR_Kort!E28</f>
        <v>156</v>
      </c>
      <c r="F31" s="54">
        <f>AFR_Kort!F28</f>
        <v>396</v>
      </c>
      <c r="G31" s="54">
        <f>AFR_Kort!G28</f>
        <v>199</v>
      </c>
      <c r="H31" s="54">
        <f>AFR_Kort!H28</f>
        <v>2</v>
      </c>
      <c r="I31" s="54">
        <f>AFR_Kort!I28</f>
        <v>201</v>
      </c>
      <c r="J31" s="54">
        <f>AFR_Kort!J28</f>
        <v>3094</v>
      </c>
      <c r="K31" s="54">
        <f>AFR_Kort!K28</f>
        <v>1629</v>
      </c>
      <c r="L31" s="54">
        <f>AFR_Kort!L28</f>
        <v>4723</v>
      </c>
      <c r="M31" s="70">
        <f t="shared" si="0"/>
        <v>-13.1</v>
      </c>
      <c r="N31" s="54">
        <f>AFR_Kort!N28</f>
        <v>3247</v>
      </c>
      <c r="O31" s="54">
        <f>AFR_Kort!O28</f>
        <v>2189</v>
      </c>
      <c r="P31" s="54">
        <f>AFR_Kort!P28</f>
        <v>5436</v>
      </c>
      <c r="Q31" s="37" t="s">
        <v>318</v>
      </c>
      <c r="R31" s="38"/>
      <c r="S31" s="41"/>
    </row>
    <row r="32" spans="1:19" ht="30" customHeight="1" x14ac:dyDescent="0.5">
      <c r="A32" s="22"/>
      <c r="B32" s="8" t="s">
        <v>18</v>
      </c>
      <c r="D32" s="53">
        <f>AFR_Kort!D29</f>
        <v>0</v>
      </c>
      <c r="E32" s="53">
        <f>AFR_Kort!E29</f>
        <v>0</v>
      </c>
      <c r="F32" s="53">
        <f>AFR_Kort!F29</f>
        <v>0</v>
      </c>
      <c r="G32" s="53">
        <f>AFR_Kort!G29</f>
        <v>0</v>
      </c>
      <c r="H32" s="53">
        <f>AFR_Kort!H29</f>
        <v>0</v>
      </c>
      <c r="I32" s="53">
        <f>AFR_Kort!I29</f>
        <v>0</v>
      </c>
      <c r="J32" s="53">
        <f>AFR_Kort!J29</f>
        <v>0</v>
      </c>
      <c r="K32" s="53">
        <f>AFR_Kort!K29</f>
        <v>0</v>
      </c>
      <c r="L32" s="53">
        <f>AFR_Kort!L29</f>
        <v>0</v>
      </c>
      <c r="M32" s="69">
        <f t="shared" si="0"/>
        <v>0</v>
      </c>
      <c r="N32" s="53">
        <f>AFR_Kort!N29</f>
        <v>0</v>
      </c>
      <c r="O32" s="53">
        <f>AFR_Kort!O29</f>
        <v>0</v>
      </c>
      <c r="P32" s="53">
        <f>AFR_Kort!P29</f>
        <v>0</v>
      </c>
      <c r="Q32" s="29"/>
      <c r="R32" s="38" t="s">
        <v>319</v>
      </c>
      <c r="S32" s="41"/>
    </row>
    <row r="33" spans="1:19" ht="30" customHeight="1" x14ac:dyDescent="0.5">
      <c r="A33" s="22"/>
      <c r="B33" s="8" t="s">
        <v>136</v>
      </c>
      <c r="D33" s="55">
        <f>AFR_Kort!D30</f>
        <v>32</v>
      </c>
      <c r="E33" s="55">
        <f>AFR_Kort!E30</f>
        <v>0</v>
      </c>
      <c r="F33" s="55">
        <f>AFR_Kort!F30</f>
        <v>32</v>
      </c>
      <c r="G33" s="55">
        <f>AFR_Kort!G30</f>
        <v>0</v>
      </c>
      <c r="H33" s="55">
        <f>AFR_Kort!H30</f>
        <v>0</v>
      </c>
      <c r="I33" s="55">
        <f>AFR_Kort!I30</f>
        <v>0</v>
      </c>
      <c r="J33" s="55">
        <f>AFR_Kort!J30</f>
        <v>181</v>
      </c>
      <c r="K33" s="55">
        <f>AFR_Kort!K30</f>
        <v>463</v>
      </c>
      <c r="L33" s="55">
        <f>AFR_Kort!L30</f>
        <v>644</v>
      </c>
      <c r="M33" s="71">
        <f t="shared" si="0"/>
        <v>-74.900000000000006</v>
      </c>
      <c r="N33" s="55">
        <f>AFR_Kort!N30</f>
        <v>987</v>
      </c>
      <c r="O33" s="55">
        <f>AFR_Kort!O30</f>
        <v>1582</v>
      </c>
      <c r="P33" s="55">
        <f>AFR_Kort!P30</f>
        <v>2569</v>
      </c>
      <c r="Q33" s="29"/>
      <c r="R33" s="38" t="s">
        <v>320</v>
      </c>
      <c r="S33" s="41"/>
    </row>
    <row r="34" spans="1:19" ht="30" customHeight="1" x14ac:dyDescent="0.5">
      <c r="A34" s="22"/>
      <c r="B34" s="9" t="s">
        <v>138</v>
      </c>
      <c r="C34" s="11"/>
      <c r="D34" s="54">
        <f>AFR_Kort!D31</f>
        <v>45</v>
      </c>
      <c r="E34" s="54">
        <f>AFR_Kort!E31</f>
        <v>0</v>
      </c>
      <c r="F34" s="54">
        <f>AFR_Kort!F31</f>
        <v>45</v>
      </c>
      <c r="G34" s="54">
        <f>AFR_Kort!G31</f>
        <v>72</v>
      </c>
      <c r="H34" s="54">
        <f>AFR_Kort!H31</f>
        <v>0</v>
      </c>
      <c r="I34" s="54">
        <f>AFR_Kort!I31</f>
        <v>72</v>
      </c>
      <c r="J34" s="54">
        <f>AFR_Kort!J31</f>
        <v>1161</v>
      </c>
      <c r="K34" s="54">
        <f>AFR_Kort!K31</f>
        <v>48</v>
      </c>
      <c r="L34" s="54">
        <f>AFR_Kort!L31</f>
        <v>1209</v>
      </c>
      <c r="M34" s="70">
        <f t="shared" si="0"/>
        <v>-53.6</v>
      </c>
      <c r="N34" s="54">
        <f>AFR_Kort!N31</f>
        <v>1922</v>
      </c>
      <c r="O34" s="54">
        <f>AFR_Kort!O31</f>
        <v>686</v>
      </c>
      <c r="P34" s="54">
        <f>AFR_Kort!P31</f>
        <v>2608</v>
      </c>
      <c r="Q34" s="40"/>
      <c r="R34" s="37" t="s">
        <v>321</v>
      </c>
      <c r="S34" s="41"/>
    </row>
    <row r="35" spans="1:19" ht="9.75" customHeight="1" x14ac:dyDescent="0.5">
      <c r="A35" s="22"/>
      <c r="D35" s="2"/>
      <c r="E35" s="2"/>
      <c r="F35" s="2"/>
      <c r="G35" s="2"/>
      <c r="H35" s="2"/>
      <c r="I35" s="2"/>
      <c r="J35" s="2"/>
      <c r="K35" s="2"/>
      <c r="L35" s="2"/>
      <c r="M35" s="68"/>
      <c r="N35" s="2"/>
      <c r="O35" s="2"/>
      <c r="P35" s="2"/>
      <c r="Q35" s="29"/>
      <c r="R35" s="29"/>
      <c r="S35" s="41"/>
    </row>
    <row r="36" spans="1:19" ht="30" customHeight="1" x14ac:dyDescent="0.5">
      <c r="A36" s="22" t="s">
        <v>211</v>
      </c>
      <c r="D36" s="52">
        <f>AFR_Kort!D33</f>
        <v>337</v>
      </c>
      <c r="E36" s="52">
        <f>AFR_Kort!E33</f>
        <v>0</v>
      </c>
      <c r="F36" s="52">
        <f>AFR_Kort!F33</f>
        <v>337</v>
      </c>
      <c r="G36" s="52">
        <f>AFR_Kort!G33</f>
        <v>221</v>
      </c>
      <c r="H36" s="52">
        <f>AFR_Kort!H33</f>
        <v>200</v>
      </c>
      <c r="I36" s="52">
        <f>AFR_Kort!I33</f>
        <v>421</v>
      </c>
      <c r="J36" s="52">
        <f>AFR_Kort!J33</f>
        <v>8369</v>
      </c>
      <c r="K36" s="52">
        <f>AFR_Kort!K33</f>
        <v>4280</v>
      </c>
      <c r="L36" s="52">
        <f>AFR_Kort!L33</f>
        <v>12649</v>
      </c>
      <c r="M36" s="67">
        <f t="shared" ref="M36:M42" si="1">ROUND(IFERROR((L36-P36)/P36*100,IF(L36-P36=0,0,100)),1)</f>
        <v>-56.4</v>
      </c>
      <c r="N36" s="52">
        <f>AFR_Kort!N33</f>
        <v>23755</v>
      </c>
      <c r="O36" s="52">
        <f>AFR_Kort!O33</f>
        <v>5284</v>
      </c>
      <c r="P36" s="52">
        <f>AFR_Kort!P33</f>
        <v>29039</v>
      </c>
      <c r="Q36" s="29"/>
      <c r="R36" s="29"/>
      <c r="S36" s="41" t="s">
        <v>322</v>
      </c>
    </row>
    <row r="37" spans="1:19" ht="30" customHeight="1" x14ac:dyDescent="0.5">
      <c r="A37" s="22"/>
      <c r="B37" s="7" t="s">
        <v>142</v>
      </c>
      <c r="C37" s="10"/>
      <c r="D37" s="53">
        <f>AFR_Kort!D34</f>
        <v>328</v>
      </c>
      <c r="E37" s="53">
        <f>AFR_Kort!E34</f>
        <v>0</v>
      </c>
      <c r="F37" s="53">
        <f>AFR_Kort!F34</f>
        <v>328</v>
      </c>
      <c r="G37" s="53">
        <f>AFR_Kort!G34</f>
        <v>116</v>
      </c>
      <c r="H37" s="53">
        <f>AFR_Kort!H34</f>
        <v>200</v>
      </c>
      <c r="I37" s="53">
        <f>AFR_Kort!I34</f>
        <v>316</v>
      </c>
      <c r="J37" s="53">
        <f>AFR_Kort!J34</f>
        <v>2141</v>
      </c>
      <c r="K37" s="53">
        <f>AFR_Kort!K34</f>
        <v>3066</v>
      </c>
      <c r="L37" s="53">
        <f>AFR_Kort!L34</f>
        <v>5207</v>
      </c>
      <c r="M37" s="69">
        <f t="shared" si="1"/>
        <v>12.4</v>
      </c>
      <c r="N37" s="53">
        <f>AFR_Kort!N34</f>
        <v>0</v>
      </c>
      <c r="O37" s="53">
        <f>AFR_Kort!O34</f>
        <v>4633</v>
      </c>
      <c r="P37" s="53">
        <f>AFR_Kort!P34</f>
        <v>4633</v>
      </c>
      <c r="Q37" s="39"/>
      <c r="R37" s="36" t="s">
        <v>323</v>
      </c>
      <c r="S37" s="41"/>
    </row>
    <row r="38" spans="1:19" ht="30" customHeight="1" x14ac:dyDescent="0.5">
      <c r="A38" s="22"/>
      <c r="B38" s="8"/>
      <c r="C38" s="7" t="s">
        <v>144</v>
      </c>
      <c r="D38" s="53">
        <f>AFR_Kort!D35</f>
        <v>328</v>
      </c>
      <c r="E38" s="53">
        <f>AFR_Kort!E35</f>
        <v>0</v>
      </c>
      <c r="F38" s="53">
        <f>AFR_Kort!F35</f>
        <v>328</v>
      </c>
      <c r="G38" s="53">
        <f>AFR_Kort!G35</f>
        <v>116</v>
      </c>
      <c r="H38" s="53">
        <f>AFR_Kort!H35</f>
        <v>200</v>
      </c>
      <c r="I38" s="53">
        <f>AFR_Kort!I35</f>
        <v>316</v>
      </c>
      <c r="J38" s="53">
        <f>AFR_Kort!J35</f>
        <v>2141</v>
      </c>
      <c r="K38" s="53">
        <f>AFR_Kort!K35</f>
        <v>3066</v>
      </c>
      <c r="L38" s="53">
        <f>AFR_Kort!L35</f>
        <v>5207</v>
      </c>
      <c r="M38" s="69">
        <f t="shared" si="1"/>
        <v>12.4</v>
      </c>
      <c r="N38" s="53">
        <f>AFR_Kort!N35</f>
        <v>0</v>
      </c>
      <c r="O38" s="53">
        <f>AFR_Kort!O35</f>
        <v>4633</v>
      </c>
      <c r="P38" s="53">
        <f>AFR_Kort!P35</f>
        <v>4633</v>
      </c>
      <c r="Q38" s="36" t="s">
        <v>324</v>
      </c>
      <c r="R38" s="38"/>
      <c r="S38" s="41"/>
    </row>
    <row r="39" spans="1:19" ht="30" customHeight="1" x14ac:dyDescent="0.5">
      <c r="A39" s="22"/>
      <c r="B39" s="8"/>
      <c r="C39" s="9" t="s">
        <v>146</v>
      </c>
      <c r="D39" s="54">
        <f>AFR_Kort!D36</f>
        <v>0</v>
      </c>
      <c r="E39" s="54">
        <f>AFR_Kort!E36</f>
        <v>0</v>
      </c>
      <c r="F39" s="54">
        <f>AFR_Kort!F36</f>
        <v>0</v>
      </c>
      <c r="G39" s="54">
        <f>AFR_Kort!G36</f>
        <v>0</v>
      </c>
      <c r="H39" s="54">
        <f>AFR_Kort!H36</f>
        <v>0</v>
      </c>
      <c r="I39" s="54">
        <f>AFR_Kort!I36</f>
        <v>0</v>
      </c>
      <c r="J39" s="54">
        <f>AFR_Kort!J36</f>
        <v>0</v>
      </c>
      <c r="K39" s="54">
        <f>AFR_Kort!K36</f>
        <v>0</v>
      </c>
      <c r="L39" s="54">
        <f>AFR_Kort!L36</f>
        <v>0</v>
      </c>
      <c r="M39" s="70">
        <f t="shared" si="1"/>
        <v>0</v>
      </c>
      <c r="N39" s="54">
        <f>AFR_Kort!N36</f>
        <v>0</v>
      </c>
      <c r="O39" s="54">
        <f>AFR_Kort!O36</f>
        <v>0</v>
      </c>
      <c r="P39" s="54">
        <f>AFR_Kort!P36</f>
        <v>0</v>
      </c>
      <c r="Q39" s="37" t="s">
        <v>325</v>
      </c>
      <c r="R39" s="38"/>
      <c r="S39" s="41"/>
    </row>
    <row r="40" spans="1:19" ht="30" customHeight="1" x14ac:dyDescent="0.5">
      <c r="A40" s="22"/>
      <c r="B40" s="8" t="s">
        <v>148</v>
      </c>
      <c r="D40" s="55">
        <f>AFR_Kort!D37</f>
        <v>9</v>
      </c>
      <c r="E40" s="55">
        <f>AFR_Kort!E37</f>
        <v>0</v>
      </c>
      <c r="F40" s="55">
        <f>AFR_Kort!F37</f>
        <v>9</v>
      </c>
      <c r="G40" s="55">
        <f>AFR_Kort!G37</f>
        <v>105</v>
      </c>
      <c r="H40" s="55">
        <f>AFR_Kort!H37</f>
        <v>0</v>
      </c>
      <c r="I40" s="55">
        <f>AFR_Kort!I37</f>
        <v>105</v>
      </c>
      <c r="J40" s="55">
        <f>AFR_Kort!J37</f>
        <v>6228</v>
      </c>
      <c r="K40" s="55">
        <f>AFR_Kort!K37</f>
        <v>1214</v>
      </c>
      <c r="L40" s="55">
        <f>AFR_Kort!L37</f>
        <v>7442</v>
      </c>
      <c r="M40" s="71">
        <f t="shared" si="1"/>
        <v>-69.5</v>
      </c>
      <c r="N40" s="55">
        <f>AFR_Kort!N37</f>
        <v>23755</v>
      </c>
      <c r="O40" s="55">
        <f>AFR_Kort!O37</f>
        <v>651</v>
      </c>
      <c r="P40" s="55">
        <f>AFR_Kort!P37</f>
        <v>24406</v>
      </c>
      <c r="Q40" s="29"/>
      <c r="R40" s="38" t="s">
        <v>326</v>
      </c>
      <c r="S40" s="41"/>
    </row>
    <row r="41" spans="1:19" ht="30" customHeight="1" x14ac:dyDescent="0.5">
      <c r="A41" s="22"/>
      <c r="B41" s="8"/>
      <c r="C41" s="7" t="s">
        <v>150</v>
      </c>
      <c r="D41" s="53">
        <f>AFR_Kort!D38</f>
        <v>9</v>
      </c>
      <c r="E41" s="53">
        <f>AFR_Kort!E38</f>
        <v>0</v>
      </c>
      <c r="F41" s="53">
        <f>AFR_Kort!F38</f>
        <v>9</v>
      </c>
      <c r="G41" s="53">
        <f>AFR_Kort!G38</f>
        <v>105</v>
      </c>
      <c r="H41" s="53">
        <f>AFR_Kort!H38</f>
        <v>0</v>
      </c>
      <c r="I41" s="53">
        <f>AFR_Kort!I38</f>
        <v>105</v>
      </c>
      <c r="J41" s="53">
        <f>AFR_Kort!J38</f>
        <v>6228</v>
      </c>
      <c r="K41" s="53">
        <f>AFR_Kort!K38</f>
        <v>1214</v>
      </c>
      <c r="L41" s="53">
        <f>AFR_Kort!L38</f>
        <v>7442</v>
      </c>
      <c r="M41" s="69">
        <f t="shared" si="1"/>
        <v>-69.5</v>
      </c>
      <c r="N41" s="53">
        <f>AFR_Kort!N38</f>
        <v>23755</v>
      </c>
      <c r="O41" s="53">
        <f>AFR_Kort!O38</f>
        <v>651</v>
      </c>
      <c r="P41" s="53">
        <f>AFR_Kort!P38</f>
        <v>24406</v>
      </c>
      <c r="Q41" s="36" t="s">
        <v>327</v>
      </c>
      <c r="R41" s="38"/>
      <c r="S41" s="41"/>
    </row>
    <row r="42" spans="1:19" ht="30" customHeight="1" x14ac:dyDescent="0.5">
      <c r="A42" s="22"/>
      <c r="B42" s="9"/>
      <c r="C42" s="9" t="s">
        <v>152</v>
      </c>
      <c r="D42" s="54">
        <f>AFR_Kort!D39</f>
        <v>0</v>
      </c>
      <c r="E42" s="54">
        <f>AFR_Kort!E39</f>
        <v>0</v>
      </c>
      <c r="F42" s="54">
        <f>AFR_Kort!F39</f>
        <v>0</v>
      </c>
      <c r="G42" s="54">
        <f>AFR_Kort!G39</f>
        <v>0</v>
      </c>
      <c r="H42" s="54">
        <f>AFR_Kort!H39</f>
        <v>0</v>
      </c>
      <c r="I42" s="54">
        <f>AFR_Kort!I39</f>
        <v>0</v>
      </c>
      <c r="J42" s="54">
        <f>AFR_Kort!J39</f>
        <v>0</v>
      </c>
      <c r="K42" s="54">
        <f>AFR_Kort!K39</f>
        <v>0</v>
      </c>
      <c r="L42" s="54">
        <f>AFR_Kort!L39</f>
        <v>0</v>
      </c>
      <c r="M42" s="70">
        <f t="shared" si="1"/>
        <v>0</v>
      </c>
      <c r="N42" s="54">
        <f>AFR_Kort!N39</f>
        <v>0</v>
      </c>
      <c r="O42" s="54">
        <f>AFR_Kort!O39</f>
        <v>0</v>
      </c>
      <c r="P42" s="54">
        <f>AFR_Kort!P39</f>
        <v>0</v>
      </c>
      <c r="Q42" s="37" t="s">
        <v>328</v>
      </c>
      <c r="R42" s="37"/>
      <c r="S42" s="41"/>
    </row>
    <row r="43" spans="1:19" ht="9.75" customHeight="1" x14ac:dyDescent="0.5">
      <c r="A43" s="22"/>
      <c r="D43" s="2"/>
      <c r="E43" s="2"/>
      <c r="F43" s="2"/>
      <c r="G43" s="2"/>
      <c r="H43" s="2"/>
      <c r="I43" s="2"/>
      <c r="J43" s="2"/>
      <c r="K43" s="2"/>
      <c r="L43" s="2"/>
      <c r="M43" s="68"/>
      <c r="N43" s="2"/>
      <c r="O43" s="2"/>
      <c r="P43" s="2"/>
      <c r="Q43" s="29"/>
      <c r="R43" s="29"/>
      <c r="S43" s="41"/>
    </row>
    <row r="44" spans="1:19" ht="30" customHeight="1" x14ac:dyDescent="0.5">
      <c r="A44" s="22" t="s">
        <v>154</v>
      </c>
      <c r="D44" s="52">
        <f>AFR_Kort!D41</f>
        <v>2333</v>
      </c>
      <c r="E44" s="52">
        <f>AFR_Kort!E41</f>
        <v>-332</v>
      </c>
      <c r="F44" s="52">
        <f>AFR_Kort!F41</f>
        <v>2001</v>
      </c>
      <c r="G44" s="52">
        <f>AFR_Kort!G41</f>
        <v>255</v>
      </c>
      <c r="H44" s="52">
        <f>AFR_Kort!H41</f>
        <v>-9</v>
      </c>
      <c r="I44" s="52">
        <f>AFR_Kort!I41</f>
        <v>246</v>
      </c>
      <c r="J44" s="52">
        <f>AFR_Kort!J41</f>
        <v>6703</v>
      </c>
      <c r="K44" s="52">
        <f>AFR_Kort!K41</f>
        <v>-81</v>
      </c>
      <c r="L44" s="52">
        <f>AFR_Kort!L41</f>
        <v>6622</v>
      </c>
      <c r="M44" s="67"/>
      <c r="N44" s="52">
        <f>AFR_Kort!N41</f>
        <v>1163</v>
      </c>
      <c r="O44" s="52">
        <f>AFR_Kort!O41</f>
        <v>-1986</v>
      </c>
      <c r="P44" s="52">
        <f>AFR_Kort!P41</f>
        <v>-823</v>
      </c>
      <c r="Q44" s="29"/>
      <c r="R44" s="29"/>
      <c r="S44" s="41" t="s">
        <v>329</v>
      </c>
    </row>
    <row r="45" spans="1:19" ht="30" customHeight="1" x14ac:dyDescent="0.5">
      <c r="A45" s="22"/>
      <c r="B45" s="7" t="s">
        <v>215</v>
      </c>
      <c r="C45" s="10"/>
      <c r="D45" s="53">
        <f>AFR_Kort!D42</f>
        <v>234</v>
      </c>
      <c r="E45" s="53">
        <f>AFR_Kort!E42</f>
        <v>-215</v>
      </c>
      <c r="F45" s="53">
        <f>AFR_Kort!F42</f>
        <v>19</v>
      </c>
      <c r="G45" s="53">
        <f>AFR_Kort!G42</f>
        <v>-125</v>
      </c>
      <c r="H45" s="53">
        <f>AFR_Kort!H42</f>
        <v>55</v>
      </c>
      <c r="I45" s="53">
        <f>AFR_Kort!I42</f>
        <v>-70</v>
      </c>
      <c r="J45" s="53">
        <f>AFR_Kort!J42</f>
        <v>1291</v>
      </c>
      <c r="K45" s="53">
        <f>AFR_Kort!K42</f>
        <v>-190</v>
      </c>
      <c r="L45" s="53">
        <f>AFR_Kort!L42</f>
        <v>1101</v>
      </c>
      <c r="M45" s="69"/>
      <c r="N45" s="53">
        <f>AFR_Kort!N42</f>
        <v>664</v>
      </c>
      <c r="O45" s="53">
        <f>AFR_Kort!O42</f>
        <v>-133</v>
      </c>
      <c r="P45" s="53">
        <f>AFR_Kort!P42</f>
        <v>531</v>
      </c>
      <c r="Q45" s="39"/>
      <c r="R45" s="36" t="s">
        <v>330</v>
      </c>
      <c r="S45" s="41"/>
    </row>
    <row r="46" spans="1:19" ht="30" customHeight="1" x14ac:dyDescent="0.5">
      <c r="A46" s="22"/>
      <c r="B46" s="9" t="s">
        <v>158</v>
      </c>
      <c r="C46" s="11"/>
      <c r="D46" s="54">
        <f>AFR_Kort!D43</f>
        <v>2099</v>
      </c>
      <c r="E46" s="54">
        <f>AFR_Kort!E43</f>
        <v>-117</v>
      </c>
      <c r="F46" s="54">
        <f>AFR_Kort!F43</f>
        <v>1982</v>
      </c>
      <c r="G46" s="54">
        <f>AFR_Kort!G43</f>
        <v>380</v>
      </c>
      <c r="H46" s="54">
        <f>AFR_Kort!H43</f>
        <v>-64</v>
      </c>
      <c r="I46" s="54">
        <f>AFR_Kort!I43</f>
        <v>316</v>
      </c>
      <c r="J46" s="54">
        <f>AFR_Kort!J43</f>
        <v>5412</v>
      </c>
      <c r="K46" s="54">
        <f>AFR_Kort!K43</f>
        <v>109</v>
      </c>
      <c r="L46" s="54">
        <f>AFR_Kort!L43</f>
        <v>5521</v>
      </c>
      <c r="M46" s="70"/>
      <c r="N46" s="54">
        <f>AFR_Kort!N43</f>
        <v>499</v>
      </c>
      <c r="O46" s="54">
        <f>AFR_Kort!O43</f>
        <v>-1853</v>
      </c>
      <c r="P46" s="54">
        <f>AFR_Kort!P43</f>
        <v>-1354</v>
      </c>
      <c r="Q46" s="40"/>
      <c r="R46" s="37" t="s">
        <v>331</v>
      </c>
      <c r="S46" s="41"/>
    </row>
    <row r="47" spans="1:19" ht="9.75" customHeight="1" x14ac:dyDescent="0.5">
      <c r="A47" s="22"/>
      <c r="D47" s="2"/>
      <c r="E47" s="2"/>
      <c r="F47" s="2"/>
      <c r="G47" s="2"/>
      <c r="H47" s="2"/>
      <c r="I47" s="2"/>
      <c r="J47" s="2"/>
      <c r="K47" s="2"/>
      <c r="L47" s="2"/>
      <c r="M47" s="68"/>
      <c r="N47" s="2"/>
      <c r="O47" s="2"/>
      <c r="P47" s="2"/>
      <c r="Q47" s="29"/>
      <c r="R47" s="29"/>
      <c r="S47" s="41"/>
    </row>
    <row r="48" spans="1:19" ht="30" customHeight="1" x14ac:dyDescent="0.5">
      <c r="A48" s="22"/>
      <c r="D48" s="150" t="s">
        <v>478</v>
      </c>
      <c r="E48" s="148"/>
      <c r="F48" s="149"/>
      <c r="G48" s="150" t="s">
        <v>479</v>
      </c>
      <c r="H48" s="148"/>
      <c r="I48" s="149"/>
      <c r="J48" s="150" t="s">
        <v>479</v>
      </c>
      <c r="K48" s="148"/>
      <c r="L48" s="149"/>
      <c r="M48" s="67"/>
      <c r="N48" s="156" t="s">
        <v>488</v>
      </c>
      <c r="O48" s="148"/>
      <c r="P48" s="149"/>
      <c r="Q48" s="29"/>
      <c r="R48" s="29"/>
      <c r="S48" s="41"/>
    </row>
    <row r="49" spans="1:19" ht="30" customHeight="1" x14ac:dyDescent="0.5">
      <c r="A49" s="23" t="s">
        <v>172</v>
      </c>
      <c r="B49" s="11"/>
      <c r="C49" s="11"/>
      <c r="D49" s="52">
        <f>AFR_Kort!D46</f>
        <v>43736</v>
      </c>
      <c r="E49" s="52">
        <f>AFR_Kort!E46</f>
        <v>4107</v>
      </c>
      <c r="F49" s="52">
        <f>AFR_Kort!F46</f>
        <v>47843</v>
      </c>
      <c r="G49" s="52">
        <f>AFR_Kort!G46</f>
        <v>31836</v>
      </c>
      <c r="H49" s="52">
        <f>AFR_Kort!H46</f>
        <v>3402</v>
      </c>
      <c r="I49" s="52">
        <f>AFR_Kort!I46</f>
        <v>35238</v>
      </c>
      <c r="J49" s="52">
        <f>AFR_Kort!J46</f>
        <v>31836</v>
      </c>
      <c r="K49" s="52">
        <f>AFR_Kort!K46</f>
        <v>3402</v>
      </c>
      <c r="L49" s="52">
        <f>AFR_Kort!L46</f>
        <v>35238</v>
      </c>
      <c r="M49" s="65">
        <f>ROUND(IFERROR((L49-P49)/P49*100,IF(L49-P49=0,0,100)),1)</f>
        <v>-57.6</v>
      </c>
      <c r="N49" s="52">
        <f>AFR_Kort!N46</f>
        <v>57445</v>
      </c>
      <c r="O49" s="52">
        <f>AFR_Kort!O46</f>
        <v>25697</v>
      </c>
      <c r="P49" s="52">
        <f>AFR_Kort!P46</f>
        <v>83142</v>
      </c>
      <c r="Q49" s="40"/>
      <c r="R49" s="40"/>
      <c r="S49" s="43" t="s">
        <v>332</v>
      </c>
    </row>
    <row r="50" spans="1:19" ht="9.75" customHeight="1" x14ac:dyDescent="0.5">
      <c r="A50" s="22"/>
      <c r="D50" s="2"/>
      <c r="E50" s="2"/>
      <c r="F50" s="2"/>
      <c r="G50" s="2"/>
      <c r="H50" s="2"/>
      <c r="I50" s="2"/>
      <c r="J50" s="2"/>
      <c r="K50" s="2"/>
      <c r="L50" s="2"/>
      <c r="M50" s="48"/>
      <c r="N50" s="2"/>
      <c r="O50" s="2"/>
      <c r="P50" s="2"/>
      <c r="Q50" s="29"/>
      <c r="R50" s="29"/>
      <c r="S50" s="41"/>
    </row>
    <row r="51" spans="1:19" ht="30" customHeight="1" x14ac:dyDescent="0.5">
      <c r="A51" s="22" t="s">
        <v>217</v>
      </c>
      <c r="D51" s="52">
        <f>AFR_Kort!D48</f>
        <v>43736</v>
      </c>
      <c r="E51" s="52">
        <f>AFR_Kort!E48</f>
        <v>4107</v>
      </c>
      <c r="F51" s="52">
        <f>AFR_Kort!F48</f>
        <v>47843</v>
      </c>
      <c r="G51" s="52">
        <f>AFR_Kort!G48</f>
        <v>31836</v>
      </c>
      <c r="H51" s="52">
        <f>AFR_Kort!H48</f>
        <v>3402</v>
      </c>
      <c r="I51" s="52">
        <f>AFR_Kort!I48</f>
        <v>35238</v>
      </c>
      <c r="J51" s="52">
        <f>AFR_Kort!J48</f>
        <v>31836</v>
      </c>
      <c r="K51" s="52">
        <f>AFR_Kort!K48</f>
        <v>3402</v>
      </c>
      <c r="L51" s="52">
        <f>AFR_Kort!L48</f>
        <v>35238</v>
      </c>
      <c r="M51" s="65">
        <f>ROUND(IFERROR((L51-P51)/P51*100,IF(L51-P51=0,0,100)),1)</f>
        <v>-57.6</v>
      </c>
      <c r="N51" s="52">
        <f>AFR_Kort!N48</f>
        <v>57445</v>
      </c>
      <c r="O51" s="52">
        <f>AFR_Kort!O48</f>
        <v>25697</v>
      </c>
      <c r="P51" s="52">
        <f>AFR_Kort!P48</f>
        <v>83142</v>
      </c>
      <c r="Q51" s="29"/>
      <c r="R51" s="29"/>
      <c r="S51" s="41" t="s">
        <v>333</v>
      </c>
    </row>
    <row r="52" spans="1:19" ht="30" customHeight="1" x14ac:dyDescent="0.5">
      <c r="A52" s="22"/>
      <c r="B52" s="7" t="s">
        <v>219</v>
      </c>
      <c r="C52" s="10"/>
      <c r="D52" s="53">
        <f>AFR_Kort!D49</f>
        <v>17267</v>
      </c>
      <c r="E52" s="53">
        <f>AFR_Kort!E49</f>
        <v>2772</v>
      </c>
      <c r="F52" s="53">
        <f>AFR_Kort!F49</f>
        <v>20039</v>
      </c>
      <c r="G52" s="53">
        <f>AFR_Kort!G49</f>
        <v>12485</v>
      </c>
      <c r="H52" s="53">
        <f>AFR_Kort!H49</f>
        <v>2326</v>
      </c>
      <c r="I52" s="53">
        <f>AFR_Kort!I49</f>
        <v>14811</v>
      </c>
      <c r="J52" s="53">
        <f>AFR_Kort!J49</f>
        <v>12485</v>
      </c>
      <c r="K52" s="53">
        <f>AFR_Kort!K49</f>
        <v>2326</v>
      </c>
      <c r="L52" s="53">
        <f>AFR_Kort!L49</f>
        <v>14811</v>
      </c>
      <c r="M52" s="45">
        <f>ROUND(IFERROR((L52-P52)/P52*100,IF(L52-P52=0,0,100)),1)</f>
        <v>-65.2</v>
      </c>
      <c r="N52" s="53">
        <f>AFR_Kort!N49</f>
        <v>22990</v>
      </c>
      <c r="O52" s="53">
        <f>AFR_Kort!O49</f>
        <v>19592</v>
      </c>
      <c r="P52" s="53">
        <f>AFR_Kort!P49</f>
        <v>42582</v>
      </c>
      <c r="Q52" s="39"/>
      <c r="R52" s="36" t="s">
        <v>334</v>
      </c>
      <c r="S52" s="41"/>
    </row>
    <row r="53" spans="1:19" ht="30" customHeight="1" x14ac:dyDescent="0.5">
      <c r="A53" s="22"/>
      <c r="B53" s="9" t="s">
        <v>178</v>
      </c>
      <c r="C53" s="11"/>
      <c r="D53" s="54">
        <f>AFR_Kort!D50</f>
        <v>26469</v>
      </c>
      <c r="E53" s="54">
        <f>AFR_Kort!E50</f>
        <v>1335</v>
      </c>
      <c r="F53" s="54">
        <f>AFR_Kort!F50</f>
        <v>27804</v>
      </c>
      <c r="G53" s="54">
        <f>AFR_Kort!G50</f>
        <v>19351</v>
      </c>
      <c r="H53" s="54">
        <f>AFR_Kort!H50</f>
        <v>1076</v>
      </c>
      <c r="I53" s="54">
        <f>AFR_Kort!I50</f>
        <v>20427</v>
      </c>
      <c r="J53" s="54">
        <f>AFR_Kort!J50</f>
        <v>19351</v>
      </c>
      <c r="K53" s="54">
        <f>AFR_Kort!K50</f>
        <v>1076</v>
      </c>
      <c r="L53" s="54">
        <f>AFR_Kort!L50</f>
        <v>20427</v>
      </c>
      <c r="M53" s="46">
        <f>ROUND(IFERROR((L53-P53)/P53*100,IF(L53-P53=0,0,100)),1)</f>
        <v>-49.6</v>
      </c>
      <c r="N53" s="54">
        <f>AFR_Kort!N50</f>
        <v>34455</v>
      </c>
      <c r="O53" s="54">
        <f>AFR_Kort!O50</f>
        <v>6105</v>
      </c>
      <c r="P53" s="54">
        <f>AFR_Kort!P50</f>
        <v>40560</v>
      </c>
      <c r="Q53" s="40"/>
      <c r="R53" s="37" t="s">
        <v>335</v>
      </c>
      <c r="S53" s="41"/>
    </row>
    <row r="54" spans="1:19" ht="9.75" customHeight="1" x14ac:dyDescent="0.5">
      <c r="A54" s="23"/>
      <c r="B54" s="11"/>
      <c r="C54" s="11"/>
      <c r="D54" s="72"/>
      <c r="E54" s="72"/>
      <c r="F54" s="72"/>
      <c r="G54" s="72"/>
      <c r="H54" s="72"/>
      <c r="I54" s="72"/>
      <c r="J54" s="72"/>
      <c r="K54" s="72"/>
      <c r="L54" s="72"/>
      <c r="M54" s="11"/>
      <c r="N54" s="72"/>
      <c r="O54" s="72"/>
      <c r="P54" s="72"/>
      <c r="Q54" s="40"/>
      <c r="R54" s="40"/>
      <c r="S54" s="43"/>
    </row>
    <row r="55" spans="1:19" ht="30" customHeight="1" x14ac:dyDescent="0.5">
      <c r="A55" s="24" t="s">
        <v>220</v>
      </c>
      <c r="B55" s="10"/>
      <c r="C55" s="12"/>
      <c r="D55" s="53"/>
      <c r="E55" s="53"/>
      <c r="F55" s="60"/>
      <c r="G55" s="53"/>
      <c r="H55" s="53"/>
      <c r="I55" s="60"/>
      <c r="J55" s="53"/>
      <c r="K55" s="53"/>
      <c r="L55" s="60"/>
      <c r="M55" s="15"/>
      <c r="N55" s="53"/>
      <c r="O55" s="53"/>
      <c r="P55" s="60"/>
      <c r="Q55" s="30"/>
      <c r="R55" s="39"/>
      <c r="S55" s="42" t="s">
        <v>336</v>
      </c>
    </row>
    <row r="56" spans="1:19" ht="30" customHeight="1" x14ac:dyDescent="0.5">
      <c r="A56" s="22" t="s">
        <v>222</v>
      </c>
      <c r="C56" s="13"/>
      <c r="D56" s="55"/>
      <c r="E56" s="55"/>
      <c r="F56" s="61"/>
      <c r="G56" s="55"/>
      <c r="H56" s="55"/>
      <c r="I56" s="61"/>
      <c r="J56" s="55"/>
      <c r="K56" s="55"/>
      <c r="L56" s="61"/>
      <c r="M56" s="21"/>
      <c r="N56" s="55"/>
      <c r="O56" s="55"/>
      <c r="P56" s="61"/>
      <c r="Q56" s="32"/>
      <c r="R56" s="29"/>
      <c r="S56" s="41" t="s">
        <v>337</v>
      </c>
    </row>
    <row r="57" spans="1:19" ht="30" customHeight="1" x14ac:dyDescent="0.5">
      <c r="A57" s="8"/>
      <c r="B57" t="s">
        <v>3</v>
      </c>
      <c r="C57" s="13"/>
      <c r="D57" s="55">
        <f>AFR_Kort!D54</f>
        <v>5682</v>
      </c>
      <c r="E57" s="55">
        <f>AFR_Kort!E54</f>
        <v>0</v>
      </c>
      <c r="F57" s="61">
        <f>AFR_Kort!F54</f>
        <v>5682</v>
      </c>
      <c r="G57" s="55">
        <f>AFR_Kort!G54</f>
        <v>2907</v>
      </c>
      <c r="H57" s="55">
        <f>AFR_Kort!H54</f>
        <v>0</v>
      </c>
      <c r="I57" s="61">
        <f>AFR_Kort!I54</f>
        <v>2907</v>
      </c>
      <c r="J57" s="55">
        <f>AFR_Kort!J54</f>
        <v>15750</v>
      </c>
      <c r="K57" s="55">
        <f>AFR_Kort!K54</f>
        <v>0</v>
      </c>
      <c r="L57" s="61">
        <f>AFR_Kort!L54</f>
        <v>15750</v>
      </c>
      <c r="M57" s="21"/>
      <c r="N57" s="55">
        <f>AFR_Kort!N54</f>
        <v>0</v>
      </c>
      <c r="O57" s="55">
        <f>AFR_Kort!O54</f>
        <v>0</v>
      </c>
      <c r="P57" s="61">
        <f>AFR_Kort!P54</f>
        <v>0</v>
      </c>
      <c r="Q57" s="8"/>
      <c r="R57" s="29" t="s">
        <v>338</v>
      </c>
      <c r="S57" s="13"/>
    </row>
    <row r="58" spans="1:19" ht="30" customHeight="1" x14ac:dyDescent="0.5">
      <c r="A58" s="8"/>
      <c r="B58" t="s">
        <v>184</v>
      </c>
      <c r="C58" s="13"/>
      <c r="D58" s="55">
        <f>AFR_Kort!D55</f>
        <v>0</v>
      </c>
      <c r="E58" s="55">
        <f>AFR_Kort!E55</f>
        <v>0</v>
      </c>
      <c r="F58" s="61">
        <f>AFR_Kort!F55</f>
        <v>0</v>
      </c>
      <c r="G58" s="55">
        <f>AFR_Kort!G55</f>
        <v>0</v>
      </c>
      <c r="H58" s="55">
        <f>AFR_Kort!H55</f>
        <v>0</v>
      </c>
      <c r="I58" s="61">
        <f>AFR_Kort!I55</f>
        <v>0</v>
      </c>
      <c r="J58" s="55">
        <f>AFR_Kort!J55</f>
        <v>67952</v>
      </c>
      <c r="K58" s="55">
        <f>AFR_Kort!K55</f>
        <v>0</v>
      </c>
      <c r="L58" s="61">
        <f>AFR_Kort!L55</f>
        <v>67952</v>
      </c>
      <c r="M58" s="21"/>
      <c r="N58" s="55">
        <f>AFR_Kort!N55</f>
        <v>30827</v>
      </c>
      <c r="O58" s="55">
        <f>AFR_Kort!O55</f>
        <v>0</v>
      </c>
      <c r="P58" s="61">
        <f>AFR_Kort!P55</f>
        <v>30827</v>
      </c>
      <c r="Q58" s="8"/>
      <c r="R58" s="29" t="s">
        <v>339</v>
      </c>
      <c r="S58" s="13"/>
    </row>
    <row r="59" spans="1:19" ht="30" customHeight="1" x14ac:dyDescent="0.5">
      <c r="A59" s="8"/>
      <c r="B59" t="s">
        <v>186</v>
      </c>
      <c r="C59" s="13"/>
      <c r="D59" s="55">
        <f>AFR_Kort!D56</f>
        <v>2775</v>
      </c>
      <c r="E59" s="55">
        <f>AFR_Kort!E56</f>
        <v>0</v>
      </c>
      <c r="F59" s="61">
        <f>AFR_Kort!F56</f>
        <v>2775</v>
      </c>
      <c r="G59" s="55">
        <f>AFR_Kort!G56</f>
        <v>405</v>
      </c>
      <c r="H59" s="55">
        <f>AFR_Kort!H56</f>
        <v>0</v>
      </c>
      <c r="I59" s="61">
        <f>AFR_Kort!I56</f>
        <v>405</v>
      </c>
      <c r="J59" s="55">
        <f>AFR_Kort!J56</f>
        <v>81227</v>
      </c>
      <c r="K59" s="55">
        <f>AFR_Kort!K56</f>
        <v>0</v>
      </c>
      <c r="L59" s="61">
        <f>AFR_Kort!L56</f>
        <v>81227</v>
      </c>
      <c r="M59" s="21"/>
      <c r="N59" s="55">
        <f>AFR_Kort!N56</f>
        <v>15098</v>
      </c>
      <c r="O59" s="55">
        <f>AFR_Kort!O56</f>
        <v>0</v>
      </c>
      <c r="P59" s="61">
        <f>AFR_Kort!P56</f>
        <v>15098</v>
      </c>
      <c r="Q59" s="8"/>
      <c r="R59" s="29" t="s">
        <v>340</v>
      </c>
      <c r="S59" s="13"/>
    </row>
    <row r="60" spans="1:19" ht="30" customHeight="1" x14ac:dyDescent="0.5">
      <c r="A60" s="8"/>
      <c r="B60" t="s">
        <v>188</v>
      </c>
      <c r="C60" s="13"/>
      <c r="D60" s="54">
        <f>AFR_Kort!D57</f>
        <v>0</v>
      </c>
      <c r="E60" s="54">
        <f>AFR_Kort!E57</f>
        <v>0</v>
      </c>
      <c r="F60" s="62">
        <f>AFR_Kort!F57</f>
        <v>0</v>
      </c>
      <c r="G60" s="54">
        <f>AFR_Kort!G57</f>
        <v>0</v>
      </c>
      <c r="H60" s="54">
        <f>AFR_Kort!H57</f>
        <v>0</v>
      </c>
      <c r="I60" s="62">
        <f>AFR_Kort!I57</f>
        <v>0</v>
      </c>
      <c r="J60" s="54">
        <f>AFR_Kort!J57</f>
        <v>-27</v>
      </c>
      <c r="K60" s="54">
        <f>AFR_Kort!K57</f>
        <v>0</v>
      </c>
      <c r="L60" s="62">
        <f>AFR_Kort!L57</f>
        <v>-27</v>
      </c>
      <c r="M60" s="16"/>
      <c r="N60" s="54">
        <f>AFR_Kort!N57</f>
        <v>-21</v>
      </c>
      <c r="O60" s="54">
        <f>AFR_Kort!O57</f>
        <v>0</v>
      </c>
      <c r="P60" s="62">
        <f>AFR_Kort!P57</f>
        <v>-21</v>
      </c>
      <c r="Q60" s="8"/>
      <c r="R60" s="29" t="s">
        <v>341</v>
      </c>
      <c r="S60" s="13"/>
    </row>
    <row r="61" spans="1:19" ht="30" customHeight="1" x14ac:dyDescent="0.5">
      <c r="A61" s="9"/>
      <c r="B61" s="11" t="s">
        <v>29</v>
      </c>
      <c r="C61" s="14"/>
      <c r="D61" s="52">
        <f>AFR_Kort!D58</f>
        <v>2907</v>
      </c>
      <c r="E61" s="52">
        <f>AFR_Kort!E58</f>
        <v>0</v>
      </c>
      <c r="F61" s="63">
        <f>AFR_Kort!F58</f>
        <v>2907</v>
      </c>
      <c r="G61" s="52">
        <f>AFR_Kort!G58</f>
        <v>2502</v>
      </c>
      <c r="H61" s="52">
        <f>AFR_Kort!H58</f>
        <v>0</v>
      </c>
      <c r="I61" s="63">
        <f>AFR_Kort!I58</f>
        <v>2502</v>
      </c>
      <c r="J61" s="52">
        <f>AFR_Kort!J58</f>
        <v>2502</v>
      </c>
      <c r="K61" s="52">
        <f>AFR_Kort!K58</f>
        <v>0</v>
      </c>
      <c r="L61" s="63">
        <f>AFR_Kort!L58</f>
        <v>2502</v>
      </c>
      <c r="M61" s="20"/>
      <c r="N61" s="52">
        <f>AFR_Kort!N58</f>
        <v>15750</v>
      </c>
      <c r="O61" s="52">
        <f>AFR_Kort!O58</f>
        <v>0</v>
      </c>
      <c r="P61" s="63">
        <f>AFR_Kort!P58</f>
        <v>15750</v>
      </c>
      <c r="Q61" s="9"/>
      <c r="R61" s="40" t="s">
        <v>342</v>
      </c>
      <c r="S61" s="14"/>
    </row>
    <row r="62" spans="1:19" ht="9.75" customHeight="1" x14ac:dyDescent="0.5">
      <c r="A62" s="8"/>
      <c r="J62" s="48"/>
      <c r="S62" s="13"/>
    </row>
    <row r="63" spans="1:19" ht="30" customHeight="1" x14ac:dyDescent="0.5">
      <c r="A63" s="144" t="str">
        <f>AFR_Kort!A60</f>
        <v>Sorghum equivalent.</v>
      </c>
      <c r="B63" s="145"/>
      <c r="C63" s="145"/>
      <c r="D63" s="145"/>
      <c r="E63" s="145"/>
      <c r="F63" s="145"/>
      <c r="G63" s="145"/>
      <c r="H63" s="145"/>
      <c r="I63" s="145"/>
      <c r="J63" s="48" t="s">
        <v>227</v>
      </c>
      <c r="K63" s="140" t="s">
        <v>343</v>
      </c>
      <c r="L63" s="140"/>
      <c r="M63" s="140"/>
      <c r="N63" s="140"/>
      <c r="O63" s="140"/>
      <c r="P63" s="140"/>
      <c r="Q63" s="140"/>
      <c r="R63" s="140"/>
      <c r="S63" s="141"/>
    </row>
    <row r="64" spans="1:19" ht="30" customHeight="1" x14ac:dyDescent="0.5">
      <c r="A64" s="144" t="str">
        <f>AFR_Kort!A61</f>
        <v>The surplus/deficit figures are partly due to sorghum dispatched as sweet sorghum but received</v>
      </c>
      <c r="B64" s="145"/>
      <c r="C64" s="145"/>
      <c r="D64" s="145"/>
      <c r="E64" s="145"/>
      <c r="F64" s="145"/>
      <c r="G64" s="145"/>
      <c r="H64" s="145"/>
      <c r="I64" s="145"/>
      <c r="J64" s="48" t="s">
        <v>230</v>
      </c>
      <c r="K64" s="140" t="s">
        <v>344</v>
      </c>
      <c r="L64" s="140"/>
      <c r="M64" s="140"/>
      <c r="N64" s="140"/>
      <c r="O64" s="140"/>
      <c r="P64" s="140"/>
      <c r="Q64" s="140"/>
      <c r="R64" s="140"/>
      <c r="S64" s="141"/>
    </row>
    <row r="65" spans="1:19" ht="30" customHeight="1" x14ac:dyDescent="0.5">
      <c r="A65" s="144" t="str">
        <f>AFR_Kort!A62</f>
        <v>as bitter sorghum and vice versa and/or adjustments between sweet sorghum and bitter sorghum.</v>
      </c>
      <c r="B65" s="145"/>
      <c r="C65" s="145"/>
      <c r="D65" s="145"/>
      <c r="E65" s="145"/>
      <c r="F65" s="145"/>
      <c r="G65" s="145"/>
      <c r="H65" s="145"/>
      <c r="I65" s="145"/>
      <c r="J65" s="48"/>
      <c r="K65" s="140" t="s">
        <v>345</v>
      </c>
      <c r="L65" s="140"/>
      <c r="M65" s="140"/>
      <c r="N65" s="140"/>
      <c r="O65" s="140"/>
      <c r="P65" s="140"/>
      <c r="Q65" s="140"/>
      <c r="R65" s="140"/>
      <c r="S65" s="141"/>
    </row>
    <row r="66" spans="1:19" ht="30" customHeight="1" x14ac:dyDescent="0.5">
      <c r="A66" s="144" t="str">
        <f>AFR_Kort!A63</f>
        <v>Processed for drinkable alcohol included.</v>
      </c>
      <c r="B66" s="145"/>
      <c r="C66" s="145"/>
      <c r="D66" s="145"/>
      <c r="E66" s="145"/>
      <c r="F66" s="145"/>
      <c r="G66" s="145"/>
      <c r="H66" s="145"/>
      <c r="I66" s="145"/>
      <c r="J66" s="48" t="s">
        <v>235</v>
      </c>
      <c r="K66" s="140" t="s">
        <v>346</v>
      </c>
      <c r="L66" s="140"/>
      <c r="M66" s="140"/>
      <c r="N66" s="140"/>
      <c r="O66" s="140"/>
      <c r="P66" s="140"/>
      <c r="Q66" s="140"/>
      <c r="R66" s="140"/>
      <c r="S66" s="141"/>
    </row>
    <row r="67" spans="1:19" ht="30" customHeight="1" x14ac:dyDescent="0.5">
      <c r="A67" s="144" t="str">
        <f>AFR_Kort!A64</f>
        <v>Also refer to general footnotes.</v>
      </c>
      <c r="B67" s="145"/>
      <c r="C67" s="145"/>
      <c r="D67" s="145"/>
      <c r="E67" s="145"/>
      <c r="F67" s="145"/>
      <c r="G67" s="145"/>
      <c r="H67" s="145"/>
      <c r="I67" s="145"/>
      <c r="J67" s="48"/>
      <c r="K67" s="140" t="s">
        <v>347</v>
      </c>
      <c r="L67" s="140"/>
      <c r="M67" s="140"/>
      <c r="N67" s="140"/>
      <c r="O67" s="140"/>
      <c r="P67" s="140"/>
      <c r="Q67" s="140"/>
      <c r="R67" s="140"/>
      <c r="S67" s="141"/>
    </row>
    <row r="68" spans="1:19" x14ac:dyDescent="0.5">
      <c r="A68" s="9"/>
      <c r="B68" s="11"/>
      <c r="C68" s="11"/>
      <c r="D68" s="11"/>
      <c r="E68" s="11"/>
      <c r="F68" s="11"/>
      <c r="G68" s="11"/>
      <c r="H68" s="11"/>
      <c r="I68" s="11"/>
      <c r="J68" s="50"/>
      <c r="K68" s="11"/>
      <c r="L68" s="11"/>
      <c r="M68" s="11"/>
      <c r="N68" s="11"/>
      <c r="O68" s="11"/>
      <c r="P68" s="11"/>
      <c r="Q68" s="11"/>
      <c r="R68" s="11"/>
      <c r="S68" s="14"/>
    </row>
  </sheetData>
  <sheetProtection formatCells="0" formatColumns="0" formatRows="0" insertHyperlinks="0" deleteColumns="0" deleteRows="0" autoFilter="0" pivotTables="0"/>
  <protectedRanges>
    <protectedRange password="CE4B" sqref="A1:AZ5 A7:AZ60 A6:F6 J6:AZ6" name="p4d3879acbe5a9e266cad9e884a0e4b57"/>
    <protectedRange password="CE4B" sqref="G6:I6" name="p4d3879acbe5a9e266cad9e884a0e4b57_1"/>
  </protectedRanges>
  <mergeCells count="44">
    <mergeCell ref="D1:P1"/>
    <mergeCell ref="D2:P2"/>
    <mergeCell ref="D3:P3"/>
    <mergeCell ref="N4:P4"/>
    <mergeCell ref="N5:P5"/>
    <mergeCell ref="N6:P6"/>
    <mergeCell ref="A11:C11"/>
    <mergeCell ref="Q11:S11"/>
    <mergeCell ref="Q2:S2"/>
    <mergeCell ref="Q7:S7"/>
    <mergeCell ref="G4:I4"/>
    <mergeCell ref="G5:I5"/>
    <mergeCell ref="G6:I6"/>
    <mergeCell ref="J5:L5"/>
    <mergeCell ref="J6:L6"/>
    <mergeCell ref="J4:L4"/>
    <mergeCell ref="D6:F6"/>
    <mergeCell ref="D5:F5"/>
    <mergeCell ref="A10:C10"/>
    <mergeCell ref="Q10:S10"/>
    <mergeCell ref="D11:F11"/>
    <mergeCell ref="G11:I11"/>
    <mergeCell ref="J11:L11"/>
    <mergeCell ref="N11:P11"/>
    <mergeCell ref="J13:L13"/>
    <mergeCell ref="J14:L14"/>
    <mergeCell ref="J15:L15"/>
    <mergeCell ref="N13:P13"/>
    <mergeCell ref="N14:P14"/>
    <mergeCell ref="N15:P15"/>
    <mergeCell ref="D48:F48"/>
    <mergeCell ref="G48:I48"/>
    <mergeCell ref="J48:L48"/>
    <mergeCell ref="N48:P48"/>
    <mergeCell ref="K63:S63"/>
    <mergeCell ref="A63:I63"/>
    <mergeCell ref="A64:I64"/>
    <mergeCell ref="A65:I65"/>
    <mergeCell ref="A66:I66"/>
    <mergeCell ref="A67:I67"/>
    <mergeCell ref="K64:S64"/>
    <mergeCell ref="K65:S65"/>
    <mergeCell ref="K66:S66"/>
    <mergeCell ref="K67:S67"/>
  </mergeCells>
  <pageMargins left="1" right="1" top="0.6" bottom="0.75" header="0.3" footer="0.3"/>
  <pageSetup paperSize="9" scale="2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5"/>
  <sheetViews>
    <sheetView topLeftCell="E31" zoomScale="55" workbookViewId="0">
      <selection activeCell="M50" sqref="M50"/>
    </sheetView>
  </sheetViews>
  <sheetFormatPr defaultRowHeight="28.2" x14ac:dyDescent="0.5"/>
  <cols>
    <col min="1" max="1" width="64.8203125" bestFit="1" customWidth="1"/>
    <col min="2" max="2" width="17.52734375" bestFit="1" customWidth="1"/>
    <col min="3" max="3" width="16.3515625" bestFit="1" customWidth="1"/>
    <col min="4" max="4" width="28.17578125" bestFit="1" customWidth="1"/>
    <col min="5" max="5" width="27" bestFit="1" customWidth="1"/>
    <col min="6" max="6" width="16.3515625" bestFit="1" customWidth="1"/>
    <col min="7" max="7" width="15.29296875" bestFit="1" customWidth="1"/>
    <col min="8" max="8" width="1.17578125" bestFit="1" customWidth="1"/>
    <col min="9" max="9" width="30.52734375" bestFit="1" customWidth="1"/>
    <col min="10" max="12" width="16.3515625" bestFit="1" customWidth="1"/>
    <col min="13" max="14" width="9.29296875" bestFit="1" customWidth="1"/>
    <col min="15" max="15" width="16.3515625" bestFit="1" customWidth="1"/>
    <col min="16" max="16" width="1.17578125" bestFit="1" customWidth="1"/>
    <col min="17" max="51" width="9.05859375" bestFit="1"/>
  </cols>
  <sheetData>
    <row r="1" spans="1:16" x14ac:dyDescent="0.5">
      <c r="A1" s="1" t="s">
        <v>348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5">
      <c r="A2" s="1" t="s">
        <v>349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5">
      <c r="A3" s="1"/>
      <c r="B3" s="1"/>
      <c r="C3" s="1"/>
      <c r="D3" s="1"/>
      <c r="E3" s="1"/>
      <c r="F3" s="1"/>
      <c r="G3" s="1"/>
      <c r="H3" s="1"/>
      <c r="I3" s="1" t="s">
        <v>350</v>
      </c>
      <c r="J3" s="1"/>
      <c r="K3" s="1"/>
      <c r="L3" s="1"/>
      <c r="M3" s="1"/>
      <c r="N3" s="1"/>
      <c r="O3" s="1"/>
      <c r="P3" s="1"/>
    </row>
    <row r="4" spans="1:16" x14ac:dyDescent="0.5">
      <c r="A4" s="1" t="s">
        <v>2</v>
      </c>
      <c r="B4" s="1" t="s">
        <v>351</v>
      </c>
      <c r="C4" s="1" t="s">
        <v>5</v>
      </c>
      <c r="D4" s="1" t="s">
        <v>352</v>
      </c>
      <c r="E4" s="1" t="s">
        <v>353</v>
      </c>
      <c r="F4" s="1" t="s">
        <v>354</v>
      </c>
      <c r="G4" s="1" t="s">
        <v>355</v>
      </c>
      <c r="H4" s="1"/>
      <c r="I4" s="1" t="s">
        <v>2</v>
      </c>
      <c r="J4" s="1" t="s">
        <v>3</v>
      </c>
      <c r="K4" s="1" t="s">
        <v>356</v>
      </c>
      <c r="L4" s="1" t="s">
        <v>357</v>
      </c>
      <c r="M4" s="1" t="s">
        <v>9</v>
      </c>
      <c r="N4" s="1" t="s">
        <v>28</v>
      </c>
      <c r="O4" s="1" t="s">
        <v>29</v>
      </c>
      <c r="P4" s="1"/>
    </row>
    <row r="5" spans="1:16" x14ac:dyDescent="0.5">
      <c r="A5" t="s">
        <v>35</v>
      </c>
      <c r="B5" s="2">
        <v>22218</v>
      </c>
      <c r="C5" s="2"/>
      <c r="D5" s="2"/>
      <c r="E5" s="2"/>
      <c r="F5" s="2">
        <f t="shared" ref="F5:F16" si="0">IF(A5="","",SUM(B5+D5))</f>
        <v>22218</v>
      </c>
      <c r="G5" s="2">
        <f t="shared" ref="G5:G16" si="1">IF(A5="","",SUM(C5+E5))</f>
        <v>0</v>
      </c>
      <c r="I5" t="str">
        <f>IF(Sweet!A5=0,"",Sweet!A5)</f>
        <v>2016/03/01</v>
      </c>
      <c r="J5" s="2">
        <v>15750</v>
      </c>
      <c r="K5" s="2">
        <f>IF(I5="","",SUMIF(A5:A16,I5,F5:F16) + SUMIF(A5:A16,I5,G5:G16))</f>
        <v>0</v>
      </c>
      <c r="L5" s="2">
        <f>IF(I5="","",SUMIF(A21:A32,I5,F21:F32) + SUMIF(A21:A32,I5,G21:G32))</f>
        <v>10575</v>
      </c>
      <c r="M5" s="2">
        <v>6</v>
      </c>
      <c r="N5" s="2">
        <f t="shared" ref="N5:N16" si="2">IF(I5="","",0)</f>
        <v>0</v>
      </c>
      <c r="O5" s="2">
        <f t="shared" ref="O5:O16" si="3">IF(I5="","",SUM(J5+K5-L5+M5-N5))</f>
        <v>5181</v>
      </c>
      <c r="P5" s="2"/>
    </row>
    <row r="6" spans="1:16" x14ac:dyDescent="0.5">
      <c r="A6" t="s">
        <v>37</v>
      </c>
      <c r="B6" s="2">
        <v>1960</v>
      </c>
      <c r="C6" s="2"/>
      <c r="D6" s="2"/>
      <c r="E6" s="2"/>
      <c r="F6" s="2">
        <f t="shared" si="0"/>
        <v>1960</v>
      </c>
      <c r="G6" s="2">
        <f t="shared" si="1"/>
        <v>0</v>
      </c>
      <c r="I6" t="str">
        <f>IF(Sweet!A6=0,"",Sweet!A6)</f>
        <v>2016/04/01</v>
      </c>
      <c r="J6" s="2">
        <f t="shared" ref="J6:J16" si="4">IF(I6="","",SUM(O5))</f>
        <v>5181</v>
      </c>
      <c r="K6" s="2">
        <f>IF(I6="","",SUMIF(A5:A16,I6,F5:F16) + SUMIF(A5:A16,I5,G5:G16))</f>
        <v>22218</v>
      </c>
      <c r="L6" s="2">
        <f>IF(I6="","",SUMIF(A21:A32,I6,F21:F32) + SUMIF(A21:A32,I6,G21:G32))</f>
        <v>9702</v>
      </c>
      <c r="M6" s="2">
        <f t="shared" ref="M6:M16" si="5">IF(I6="","",0)</f>
        <v>0</v>
      </c>
      <c r="N6" s="2">
        <f t="shared" si="2"/>
        <v>0</v>
      </c>
      <c r="O6" s="2">
        <f t="shared" si="3"/>
        <v>17697</v>
      </c>
      <c r="P6" s="2"/>
    </row>
    <row r="7" spans="1:16" x14ac:dyDescent="0.5">
      <c r="A7" t="s">
        <v>38</v>
      </c>
      <c r="B7" s="2">
        <v>6453</v>
      </c>
      <c r="C7" s="2"/>
      <c r="D7" s="2"/>
      <c r="E7" s="2"/>
      <c r="F7" s="2">
        <f t="shared" si="0"/>
        <v>6453</v>
      </c>
      <c r="G7" s="2">
        <f t="shared" si="1"/>
        <v>0</v>
      </c>
      <c r="I7" t="str">
        <f>IF(Sweet!A7=0,"",Sweet!A7)</f>
        <v>2016/05/01</v>
      </c>
      <c r="J7" s="2">
        <f t="shared" si="4"/>
        <v>17697</v>
      </c>
      <c r="K7" s="2">
        <f>IF(I7="","",SUMIF(A5:A16,I7,F5:F16) + SUMIF(A5:A16,I5,G5:G16))</f>
        <v>0</v>
      </c>
      <c r="L7" s="2">
        <f>IF(I7="","",SUMIF(A21:A32,I7,F21:F32) + SUMIF(A21:A32,I7,G21:G32))</f>
        <v>7603</v>
      </c>
      <c r="M7" s="2">
        <f t="shared" si="5"/>
        <v>0</v>
      </c>
      <c r="N7" s="2">
        <v>57</v>
      </c>
      <c r="O7" s="2">
        <f t="shared" si="3"/>
        <v>10037</v>
      </c>
      <c r="P7" s="2"/>
    </row>
    <row r="8" spans="1:16" x14ac:dyDescent="0.5">
      <c r="A8" t="s">
        <v>40</v>
      </c>
      <c r="B8" s="2">
        <v>19998</v>
      </c>
      <c r="C8" s="2"/>
      <c r="D8" s="2"/>
      <c r="E8" s="2"/>
      <c r="F8" s="2">
        <f t="shared" si="0"/>
        <v>19998</v>
      </c>
      <c r="G8" s="2">
        <f t="shared" si="1"/>
        <v>0</v>
      </c>
      <c r="I8" t="str">
        <f>IF(Sweet!A8=0,"",Sweet!A8)</f>
        <v>2016/06/01</v>
      </c>
      <c r="J8" s="2">
        <f t="shared" si="4"/>
        <v>10037</v>
      </c>
      <c r="K8" s="2">
        <f>IF(I8="","",SUMIF(A5:A16,I8,F5:F16) + SUMIF(A5:A16,I5,G5:G16))</f>
        <v>1960</v>
      </c>
      <c r="L8" s="2">
        <f>IF(I8="","",SUMIF(A21:A32,I8,F21:F32) + SUMIF(A21:A32,I8,G21:G32))</f>
        <v>3909</v>
      </c>
      <c r="M8" s="2">
        <f t="shared" si="5"/>
        <v>0</v>
      </c>
      <c r="N8" s="2">
        <f t="shared" si="2"/>
        <v>0</v>
      </c>
      <c r="O8" s="2">
        <f t="shared" si="3"/>
        <v>8088</v>
      </c>
      <c r="P8" s="2"/>
    </row>
    <row r="9" spans="1:16" x14ac:dyDescent="0.5">
      <c r="A9" t="s">
        <v>41</v>
      </c>
      <c r="B9" s="2">
        <v>1970</v>
      </c>
      <c r="C9" s="2"/>
      <c r="D9" s="2"/>
      <c r="E9" s="2"/>
      <c r="F9" s="2">
        <f t="shared" si="0"/>
        <v>1970</v>
      </c>
      <c r="G9" s="2">
        <f t="shared" si="1"/>
        <v>0</v>
      </c>
      <c r="I9" t="str">
        <f>IF(Sweet!A9=0,"",Sweet!A9)</f>
        <v>2016/07/01</v>
      </c>
      <c r="J9" s="2">
        <f t="shared" si="4"/>
        <v>8088</v>
      </c>
      <c r="K9" s="2">
        <f>IF(I9="","",SUMIF(A5:A16,I9,F5:F16) + SUMIF(A5:A16,I5,G5:G16))</f>
        <v>6453</v>
      </c>
      <c r="L9" s="2">
        <f>IF(I9="","",SUMIF(A21:A32,I9,F21:F32) + SUMIF(A21:A32,I9,G21:G32))</f>
        <v>1890</v>
      </c>
      <c r="M9" s="2">
        <f t="shared" si="5"/>
        <v>0</v>
      </c>
      <c r="N9" s="2">
        <v>1</v>
      </c>
      <c r="O9" s="2">
        <f t="shared" si="3"/>
        <v>12650</v>
      </c>
      <c r="P9" s="2"/>
    </row>
    <row r="10" spans="1:16" x14ac:dyDescent="0.5">
      <c r="A10" t="s">
        <v>42</v>
      </c>
      <c r="B10" s="2">
        <v>15353</v>
      </c>
      <c r="C10" s="2"/>
      <c r="D10" s="2"/>
      <c r="E10" s="2"/>
      <c r="F10" s="2">
        <f t="shared" si="0"/>
        <v>15353</v>
      </c>
      <c r="G10" s="2">
        <f t="shared" si="1"/>
        <v>0</v>
      </c>
      <c r="I10" t="str">
        <f>IF(Sweet!A10=0,"",Sweet!A10)</f>
        <v>2016/08/01</v>
      </c>
      <c r="J10" s="2">
        <f t="shared" si="4"/>
        <v>12650</v>
      </c>
      <c r="K10" s="2">
        <f>IF(I10="","",SUMIF(A5:A16,I10,F5:F16) + SUMIF(A5:A16,I5,G5:G16))</f>
        <v>0</v>
      </c>
      <c r="L10" s="2">
        <f>IF(I10="","",SUMIF(A21:A32,I10,F21:F32) + SUMIF(A21:A32,I10,G21:G32))</f>
        <v>7087</v>
      </c>
      <c r="M10" s="2">
        <v>21</v>
      </c>
      <c r="N10" s="2">
        <v>7</v>
      </c>
      <c r="O10" s="2">
        <f t="shared" si="3"/>
        <v>5577</v>
      </c>
      <c r="P10" s="2"/>
    </row>
    <row r="11" spans="1:16" x14ac:dyDescent="0.5">
      <c r="B11" s="2"/>
      <c r="C11" s="2"/>
      <c r="D11" s="2"/>
      <c r="E11" s="2"/>
      <c r="F11" s="2" t="str">
        <f t="shared" si="0"/>
        <v/>
      </c>
      <c r="G11" s="2" t="str">
        <f t="shared" si="1"/>
        <v/>
      </c>
      <c r="I11" t="str">
        <f>IF(Sweet!A11=0,"",Sweet!A11)</f>
        <v>2016/09/01</v>
      </c>
      <c r="J11" s="2">
        <f t="shared" si="4"/>
        <v>5577</v>
      </c>
      <c r="K11" s="2">
        <f>IF(I11="","",SUMIF(A5:A16,I11,F5:F16) + SUMIF(A5:A16,I5,G5:G16))</f>
        <v>19998</v>
      </c>
      <c r="L11" s="2">
        <f>IF(I11="","",SUMIF(A21:A32,I11,F21:F32) + SUMIF(A21:A32,I11,G21:G32))</f>
        <v>3062</v>
      </c>
      <c r="M11" s="2">
        <f t="shared" si="5"/>
        <v>0</v>
      </c>
      <c r="N11" s="2">
        <f t="shared" si="2"/>
        <v>0</v>
      </c>
      <c r="O11" s="2">
        <f t="shared" si="3"/>
        <v>22513</v>
      </c>
      <c r="P11" s="2"/>
    </row>
    <row r="12" spans="1:16" x14ac:dyDescent="0.5">
      <c r="B12" s="2"/>
      <c r="C12" s="2"/>
      <c r="D12" s="2"/>
      <c r="E12" s="2"/>
      <c r="F12" s="2" t="str">
        <f t="shared" si="0"/>
        <v/>
      </c>
      <c r="G12" s="2" t="str">
        <f t="shared" si="1"/>
        <v/>
      </c>
      <c r="I12" t="str">
        <f>IF(Sweet!A12=0,"",Sweet!A12)</f>
        <v>2016/10/01</v>
      </c>
      <c r="J12" s="2">
        <f t="shared" si="4"/>
        <v>22513</v>
      </c>
      <c r="K12" s="2">
        <f>IF(I12="","",SUMIF(A5:A16,I12,F5:F16) + SUMIF(A5:A16,I5,G5:G16))</f>
        <v>1970</v>
      </c>
      <c r="L12" s="2">
        <f>IF(I12="","",SUMIF(A21:A32,I12,F21:F32) + SUMIF(A21:A32,I12,G21:G32))</f>
        <v>7776</v>
      </c>
      <c r="M12" s="2">
        <f t="shared" si="5"/>
        <v>0</v>
      </c>
      <c r="N12" s="2">
        <f t="shared" si="2"/>
        <v>0</v>
      </c>
      <c r="O12" s="2">
        <f t="shared" si="3"/>
        <v>16707</v>
      </c>
      <c r="P12" s="2"/>
    </row>
    <row r="13" spans="1:16" x14ac:dyDescent="0.5">
      <c r="B13" s="2"/>
      <c r="C13" s="2"/>
      <c r="D13" s="2"/>
      <c r="E13" s="2"/>
      <c r="F13" s="2" t="str">
        <f t="shared" si="0"/>
        <v/>
      </c>
      <c r="G13" s="2" t="str">
        <f t="shared" si="1"/>
        <v/>
      </c>
      <c r="I13" t="str">
        <f>IF(Sweet!A13=0,"",Sweet!A13)</f>
        <v>2016/11/01</v>
      </c>
      <c r="J13" s="2">
        <f t="shared" si="4"/>
        <v>16707</v>
      </c>
      <c r="K13" s="2">
        <f>IF(I13="","",SUMIF(A5:A16,I13,F5:F16) + SUMIF(A5:A16,I5,G5:G16))</f>
        <v>15353</v>
      </c>
      <c r="L13" s="2">
        <f>IF(I13="","",SUMIF(A21:A32,I13,F21:F32) + SUMIF(A21:A32,I13,G21:G32))</f>
        <v>10485</v>
      </c>
      <c r="M13" s="2">
        <f t="shared" si="5"/>
        <v>0</v>
      </c>
      <c r="N13" s="2">
        <v>37</v>
      </c>
      <c r="O13" s="2">
        <f t="shared" si="3"/>
        <v>21538</v>
      </c>
      <c r="P13" s="2"/>
    </row>
    <row r="14" spans="1:16" x14ac:dyDescent="0.5">
      <c r="B14" s="2"/>
      <c r="C14" s="2"/>
      <c r="D14" s="2"/>
      <c r="E14" s="2"/>
      <c r="F14" s="2" t="str">
        <f t="shared" si="0"/>
        <v/>
      </c>
      <c r="G14" s="2" t="str">
        <f t="shared" si="1"/>
        <v/>
      </c>
      <c r="I14" t="str">
        <f>IF(Sweet!A14=0,"",Sweet!A14)</f>
        <v>2016/12/01</v>
      </c>
      <c r="J14" s="2">
        <f t="shared" si="4"/>
        <v>21538</v>
      </c>
      <c r="K14" s="2">
        <f>IF(I14="","",SUMIF(A5:A16,I14,F5:F16) + SUMIF(A5:A16,I5,G5:G16))</f>
        <v>0</v>
      </c>
      <c r="L14" s="2">
        <f>IF(I14="","",SUMIF(A21:A32,I14,F21:F32) + SUMIF(A21:A32,I14,G21:G32))</f>
        <v>15958</v>
      </c>
      <c r="M14" s="2">
        <v>102</v>
      </c>
      <c r="N14" s="2">
        <f t="shared" si="2"/>
        <v>0</v>
      </c>
      <c r="O14" s="2">
        <f t="shared" si="3"/>
        <v>5682</v>
      </c>
      <c r="P14" s="2"/>
    </row>
    <row r="15" spans="1:16" x14ac:dyDescent="0.5">
      <c r="B15" s="2"/>
      <c r="C15" s="2"/>
      <c r="D15" s="2"/>
      <c r="E15" s="2"/>
      <c r="F15" s="2" t="str">
        <f t="shared" si="0"/>
        <v/>
      </c>
      <c r="G15" s="2" t="str">
        <f t="shared" si="1"/>
        <v/>
      </c>
      <c r="I15" t="str">
        <f>IF(Sweet!A15=0,"",Sweet!A15)</f>
        <v>2017/01/01</v>
      </c>
      <c r="J15" s="2">
        <f t="shared" si="4"/>
        <v>5682</v>
      </c>
      <c r="K15" s="2">
        <f>IF(I15="","",SUMIF(A5:A16,I15,F5:F16) + SUMIF(A5:A16,I5,G5:G16))</f>
        <v>0</v>
      </c>
      <c r="L15" s="2">
        <f>IF(I15="","",SUMIF(A21:A32,I15,F21:F32) + SUMIF(A21:A32,I15,G21:G32))</f>
        <v>2775</v>
      </c>
      <c r="M15" s="2">
        <f t="shared" si="5"/>
        <v>0</v>
      </c>
      <c r="N15" s="2">
        <f t="shared" si="2"/>
        <v>0</v>
      </c>
      <c r="O15" s="2">
        <f t="shared" si="3"/>
        <v>2907</v>
      </c>
      <c r="P15" s="2"/>
    </row>
    <row r="16" spans="1:16" x14ac:dyDescent="0.5">
      <c r="B16" s="2"/>
      <c r="C16" s="2"/>
      <c r="D16" s="2"/>
      <c r="E16" s="2"/>
      <c r="F16" s="2" t="str">
        <f t="shared" si="0"/>
        <v/>
      </c>
      <c r="G16" s="2" t="str">
        <f t="shared" si="1"/>
        <v/>
      </c>
      <c r="I16" t="str">
        <f>IF(Sweet!A16=0,"",Sweet!A16)</f>
        <v>2017/02/01</v>
      </c>
      <c r="J16" s="2">
        <f t="shared" si="4"/>
        <v>2907</v>
      </c>
      <c r="K16" s="2">
        <f>IF(I16="","",SUMIF(A5:A16,I16,F5:F16) + SUMIF(A5:A16,I5,G5:G16))</f>
        <v>0</v>
      </c>
      <c r="L16" s="2">
        <f>IF(I16="","",SUMIF(A21:A32,I16,F21:F32) + SUMIF(A21:A32,I16,G21:G32))</f>
        <v>405</v>
      </c>
      <c r="M16" s="2">
        <f t="shared" si="5"/>
        <v>0</v>
      </c>
      <c r="N16" s="2">
        <f t="shared" si="2"/>
        <v>0</v>
      </c>
      <c r="O16" s="2">
        <f t="shared" si="3"/>
        <v>2502</v>
      </c>
      <c r="P16" s="2"/>
    </row>
    <row r="17" spans="1:16" x14ac:dyDescent="0.5">
      <c r="A17" s="1"/>
      <c r="B17" s="4">
        <f t="shared" ref="B17:G17" si="6">SUM(B5:B16)</f>
        <v>67952</v>
      </c>
      <c r="C17" s="5">
        <f t="shared" si="6"/>
        <v>0</v>
      </c>
      <c r="D17" s="5">
        <f t="shared" si="6"/>
        <v>0</v>
      </c>
      <c r="E17" s="5">
        <f t="shared" si="6"/>
        <v>0</v>
      </c>
      <c r="F17" s="5">
        <f t="shared" si="6"/>
        <v>67952</v>
      </c>
      <c r="G17" s="6">
        <f t="shared" si="6"/>
        <v>0</v>
      </c>
      <c r="H17" s="1"/>
      <c r="I17" s="1"/>
      <c r="J17" s="4"/>
      <c r="K17" s="5">
        <f>SUM(K5:K16)</f>
        <v>67952</v>
      </c>
      <c r="L17" s="5">
        <f>SUM(L5:L16)</f>
        <v>81227</v>
      </c>
      <c r="M17" s="5">
        <f>SUM(M5:M16)</f>
        <v>129</v>
      </c>
      <c r="N17" s="5">
        <f>SUM(N5:N16)</f>
        <v>102</v>
      </c>
      <c r="O17" s="6"/>
      <c r="P17" s="3"/>
    </row>
    <row r="18" spans="1:16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5">
      <c r="A19" s="1" t="s">
        <v>358</v>
      </c>
      <c r="B19" s="1"/>
      <c r="C19" s="1"/>
      <c r="D19" s="1"/>
      <c r="E19" s="1"/>
      <c r="F19" s="1"/>
      <c r="G19" s="1"/>
      <c r="H19" s="1"/>
      <c r="I19" s="1" t="s">
        <v>359</v>
      </c>
      <c r="J19" s="1"/>
      <c r="K19" s="1"/>
      <c r="L19" s="1"/>
      <c r="M19" s="1"/>
      <c r="N19" s="1"/>
      <c r="O19" s="1"/>
      <c r="P19" s="1"/>
    </row>
    <row r="20" spans="1:16" x14ac:dyDescent="0.5">
      <c r="A20" s="1" t="s">
        <v>2</v>
      </c>
      <c r="B20" s="1" t="s">
        <v>360</v>
      </c>
      <c r="C20" s="1" t="s">
        <v>19</v>
      </c>
      <c r="D20" s="1" t="s">
        <v>361</v>
      </c>
      <c r="E20" s="1" t="s">
        <v>362</v>
      </c>
      <c r="F20" s="1" t="s">
        <v>354</v>
      </c>
      <c r="G20" s="1" t="s">
        <v>355</v>
      </c>
      <c r="H20" s="1"/>
      <c r="I20" s="1" t="s">
        <v>2</v>
      </c>
      <c r="J20" s="1" t="s">
        <v>354</v>
      </c>
      <c r="K20" s="1" t="s">
        <v>355</v>
      </c>
      <c r="L20" s="1"/>
      <c r="M20" s="1"/>
      <c r="N20" s="1"/>
      <c r="O20" s="1"/>
      <c r="P20" s="1"/>
    </row>
    <row r="21" spans="1:16" x14ac:dyDescent="0.5">
      <c r="A21" t="s">
        <v>34</v>
      </c>
      <c r="B21" s="2">
        <v>10540</v>
      </c>
      <c r="C21" s="2">
        <v>35</v>
      </c>
      <c r="D21" s="2"/>
      <c r="E21" s="2"/>
      <c r="F21" s="2">
        <f t="shared" ref="F21:F32" si="7">IF(A21="","",SUM(B21+D21))</f>
        <v>10540</v>
      </c>
      <c r="G21" s="2">
        <f t="shared" ref="G21:G32" si="8">IF(A21="","",SUM(C21+E21))</f>
        <v>35</v>
      </c>
      <c r="I21" t="str">
        <f t="shared" ref="I21:I32" si="9">I5</f>
        <v>2016/03/01</v>
      </c>
      <c r="J21">
        <f>IF(I21="","",SUMIF(A21:A32,I21,F21:F32))</f>
        <v>10540</v>
      </c>
      <c r="K21">
        <f>IF(I21="","",SUMIF(A21:A32,I21,G21:G32))</f>
        <v>35</v>
      </c>
    </row>
    <row r="22" spans="1:16" x14ac:dyDescent="0.5">
      <c r="A22" t="s">
        <v>35</v>
      </c>
      <c r="B22" s="2">
        <v>2471</v>
      </c>
      <c r="C22" s="2">
        <v>7231</v>
      </c>
      <c r="D22" s="2"/>
      <c r="E22" s="2"/>
      <c r="F22" s="2">
        <f t="shared" si="7"/>
        <v>2471</v>
      </c>
      <c r="G22" s="2">
        <f t="shared" si="8"/>
        <v>7231</v>
      </c>
      <c r="I22" t="str">
        <f t="shared" si="9"/>
        <v>2016/04/01</v>
      </c>
      <c r="J22">
        <f>IF(I22="","",SUMIF(A21:A32,I22,F21:F32))</f>
        <v>2471</v>
      </c>
      <c r="K22">
        <f>IF(I22="","",SUMIF(A21:A32,I22,G21:G32))</f>
        <v>7231</v>
      </c>
    </row>
    <row r="23" spans="1:16" x14ac:dyDescent="0.5">
      <c r="A23" t="s">
        <v>36</v>
      </c>
      <c r="B23" s="2">
        <v>1520</v>
      </c>
      <c r="C23" s="2">
        <v>6083</v>
      </c>
      <c r="D23" s="2"/>
      <c r="E23" s="2"/>
      <c r="F23" s="2">
        <f t="shared" si="7"/>
        <v>1520</v>
      </c>
      <c r="G23" s="2">
        <f t="shared" si="8"/>
        <v>6083</v>
      </c>
      <c r="I23" t="str">
        <f t="shared" si="9"/>
        <v>2016/05/01</v>
      </c>
      <c r="J23">
        <f>IF(I23="","",SUMIF(A21:A32,I23,F21:F32))</f>
        <v>1520</v>
      </c>
      <c r="K23">
        <f>IF(I23="","",SUMIF(A21:A32,I23,G21:G32))</f>
        <v>6083</v>
      </c>
    </row>
    <row r="24" spans="1:16" x14ac:dyDescent="0.5">
      <c r="A24" t="s">
        <v>37</v>
      </c>
      <c r="B24" s="2">
        <v>1520</v>
      </c>
      <c r="C24" s="2">
        <v>2389</v>
      </c>
      <c r="D24" s="2"/>
      <c r="E24" s="2"/>
      <c r="F24" s="2">
        <f t="shared" si="7"/>
        <v>1520</v>
      </c>
      <c r="G24" s="2">
        <f t="shared" si="8"/>
        <v>2389</v>
      </c>
      <c r="I24" t="str">
        <f t="shared" si="9"/>
        <v>2016/06/01</v>
      </c>
      <c r="J24">
        <f>IF(I24="","",SUMIF(A21:A32,I24,F21:F32))</f>
        <v>1520</v>
      </c>
      <c r="K24">
        <f>IF(I24="","",SUMIF(A21:A32,I24,G21:G32))</f>
        <v>2389</v>
      </c>
    </row>
    <row r="25" spans="1:16" x14ac:dyDescent="0.5">
      <c r="A25" t="s">
        <v>38</v>
      </c>
      <c r="B25" s="2"/>
      <c r="C25" s="2">
        <v>1890</v>
      </c>
      <c r="D25" s="2"/>
      <c r="E25" s="2"/>
      <c r="F25" s="2">
        <f t="shared" si="7"/>
        <v>0</v>
      </c>
      <c r="G25" s="2">
        <f t="shared" si="8"/>
        <v>1890</v>
      </c>
      <c r="I25" t="str">
        <f t="shared" si="9"/>
        <v>2016/07/01</v>
      </c>
      <c r="J25">
        <f>IF(I25="","",SUMIF(A21:A32,I25,F21:F32))</f>
        <v>0</v>
      </c>
      <c r="K25">
        <f>IF(I25="","",SUMIF(A21:A32,I25,G21:G32))</f>
        <v>1890</v>
      </c>
    </row>
    <row r="26" spans="1:16" x14ac:dyDescent="0.5">
      <c r="A26" t="s">
        <v>39</v>
      </c>
      <c r="B26" s="2"/>
      <c r="C26" s="2">
        <v>7087</v>
      </c>
      <c r="D26" s="2"/>
      <c r="E26" s="2"/>
      <c r="F26" s="2">
        <f t="shared" si="7"/>
        <v>0</v>
      </c>
      <c r="G26" s="2">
        <f t="shared" si="8"/>
        <v>7087</v>
      </c>
      <c r="I26" t="str">
        <f t="shared" si="9"/>
        <v>2016/08/01</v>
      </c>
      <c r="J26">
        <f>IF(I26="","",SUMIF(A21:A32,I26,F21:F32))</f>
        <v>0</v>
      </c>
      <c r="K26">
        <f>IF(I26="","",SUMIF(A21:A32,I26,G21:G32))</f>
        <v>7087</v>
      </c>
    </row>
    <row r="27" spans="1:16" x14ac:dyDescent="0.5">
      <c r="A27" t="s">
        <v>40</v>
      </c>
      <c r="B27" s="2"/>
      <c r="C27" s="2">
        <v>3062</v>
      </c>
      <c r="D27" s="2"/>
      <c r="E27" s="2"/>
      <c r="F27" s="2">
        <f t="shared" si="7"/>
        <v>0</v>
      </c>
      <c r="G27" s="2">
        <f t="shared" si="8"/>
        <v>3062</v>
      </c>
      <c r="I27" t="str">
        <f t="shared" si="9"/>
        <v>2016/09/01</v>
      </c>
      <c r="J27">
        <f>IF(I27="","",SUMIF(A21:A32,I27,F21:F32))</f>
        <v>0</v>
      </c>
      <c r="K27">
        <f>IF(I27="","",SUMIF(A21:A32,I27,G21:G32))</f>
        <v>3062</v>
      </c>
    </row>
    <row r="28" spans="1:16" x14ac:dyDescent="0.5">
      <c r="A28" t="s">
        <v>41</v>
      </c>
      <c r="B28" s="2">
        <v>5758</v>
      </c>
      <c r="C28" s="2">
        <v>2018</v>
      </c>
      <c r="D28" s="2"/>
      <c r="E28" s="2"/>
      <c r="F28" s="2">
        <f t="shared" si="7"/>
        <v>5758</v>
      </c>
      <c r="G28" s="2">
        <f t="shared" si="8"/>
        <v>2018</v>
      </c>
      <c r="I28" t="str">
        <f t="shared" si="9"/>
        <v>2016/10/01</v>
      </c>
      <c r="J28">
        <f>IF(I28="","",SUMIF(A21:A32,I28,F21:F32))</f>
        <v>5758</v>
      </c>
      <c r="K28">
        <f>IF(I28="","",SUMIF(A21:A32,I28,G21:G32))</f>
        <v>2018</v>
      </c>
    </row>
    <row r="29" spans="1:16" x14ac:dyDescent="0.5">
      <c r="A29" t="s">
        <v>42</v>
      </c>
      <c r="B29" s="2">
        <v>10485</v>
      </c>
      <c r="C29" s="2"/>
      <c r="D29" s="2"/>
      <c r="E29" s="2"/>
      <c r="F29" s="2">
        <f t="shared" si="7"/>
        <v>10485</v>
      </c>
      <c r="G29" s="2">
        <f t="shared" si="8"/>
        <v>0</v>
      </c>
      <c r="I29" t="str">
        <f t="shared" si="9"/>
        <v>2016/11/01</v>
      </c>
      <c r="J29">
        <f>IF(I29="","",SUMIF(A21:A32,I29,F21:F32))</f>
        <v>10485</v>
      </c>
      <c r="K29">
        <f>IF(I29="","",SUMIF(A21:A32,I29,G21:G32))</f>
        <v>0</v>
      </c>
    </row>
    <row r="30" spans="1:16" x14ac:dyDescent="0.5">
      <c r="A30" t="s">
        <v>43</v>
      </c>
      <c r="B30" s="2">
        <v>2740</v>
      </c>
      <c r="C30" s="2">
        <v>13218</v>
      </c>
      <c r="D30" s="2"/>
      <c r="E30" s="2"/>
      <c r="F30" s="2">
        <f t="shared" si="7"/>
        <v>2740</v>
      </c>
      <c r="G30" s="2">
        <f t="shared" si="8"/>
        <v>13218</v>
      </c>
      <c r="I30" t="str">
        <f t="shared" si="9"/>
        <v>2016/12/01</v>
      </c>
      <c r="J30">
        <f>IF(I30="","",SUMIF(A21:A32,I30,F21:F32))</f>
        <v>2740</v>
      </c>
      <c r="K30">
        <f>IF(I30="","",SUMIF(A21:A32,I30,G21:G32))</f>
        <v>13218</v>
      </c>
    </row>
    <row r="31" spans="1:16" x14ac:dyDescent="0.5">
      <c r="A31" t="s">
        <v>44</v>
      </c>
      <c r="B31" s="2"/>
      <c r="C31" s="2">
        <v>2775</v>
      </c>
      <c r="D31" s="2"/>
      <c r="E31" s="2"/>
      <c r="F31" s="2">
        <f t="shared" si="7"/>
        <v>0</v>
      </c>
      <c r="G31" s="2">
        <f t="shared" si="8"/>
        <v>2775</v>
      </c>
      <c r="I31" t="str">
        <f t="shared" si="9"/>
        <v>2017/01/01</v>
      </c>
      <c r="J31">
        <f>IF(I31="","",SUMIF(A21:A32,I31,F21:F32))</f>
        <v>0</v>
      </c>
      <c r="K31">
        <f>IF(I31="","",SUMIF(A21:A32,I31,G21:G32))</f>
        <v>2775</v>
      </c>
    </row>
    <row r="32" spans="1:16" x14ac:dyDescent="0.5">
      <c r="A32" t="s">
        <v>45</v>
      </c>
      <c r="B32" s="2"/>
      <c r="C32" s="2">
        <v>405</v>
      </c>
      <c r="D32" s="2"/>
      <c r="E32" s="2"/>
      <c r="F32" s="2">
        <f t="shared" si="7"/>
        <v>0</v>
      </c>
      <c r="G32" s="2">
        <f t="shared" si="8"/>
        <v>405</v>
      </c>
      <c r="I32" t="str">
        <f t="shared" si="9"/>
        <v>2017/02/01</v>
      </c>
      <c r="J32">
        <f>IF(I32="","",SUMIF(A21:A32,I32,F21:F32))</f>
        <v>0</v>
      </c>
      <c r="K32">
        <f>IF(I32="","",SUMIF(A21:A32,I32,G21:G32))</f>
        <v>405</v>
      </c>
    </row>
    <row r="33" spans="1:16" x14ac:dyDescent="0.5">
      <c r="A33" s="1"/>
      <c r="B33" s="4">
        <f t="shared" ref="B33:G33" si="10">SUM(B21:B32)</f>
        <v>35034</v>
      </c>
      <c r="C33" s="5">
        <f t="shared" si="10"/>
        <v>46193</v>
      </c>
      <c r="D33" s="5">
        <f t="shared" si="10"/>
        <v>0</v>
      </c>
      <c r="E33" s="5">
        <f t="shared" si="10"/>
        <v>0</v>
      </c>
      <c r="F33" s="5">
        <f t="shared" si="10"/>
        <v>35034</v>
      </c>
      <c r="G33" s="6">
        <f t="shared" si="10"/>
        <v>46193</v>
      </c>
      <c r="H33" s="1"/>
      <c r="I33" s="1"/>
      <c r="J33" s="73">
        <f>SUM(J21:J32)</f>
        <v>35034</v>
      </c>
      <c r="K33" s="74">
        <f>SUM(K21:K32)</f>
        <v>46193</v>
      </c>
      <c r="L33" s="1"/>
      <c r="M33" s="1"/>
      <c r="N33" s="1"/>
      <c r="O33" s="1"/>
      <c r="P33" s="1"/>
    </row>
    <row r="34" spans="1:16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5">
      <c r="A35" s="1" t="s">
        <v>363</v>
      </c>
      <c r="B35" s="1"/>
      <c r="C35" s="1"/>
      <c r="D35" s="1"/>
      <c r="E35" s="1"/>
      <c r="F35" s="1"/>
      <c r="G35" s="1"/>
      <c r="H35" s="1"/>
      <c r="I35" s="1" t="s">
        <v>364</v>
      </c>
      <c r="J35" s="1"/>
      <c r="K35" s="1"/>
      <c r="L35" s="1"/>
      <c r="M35" s="1"/>
      <c r="N35" s="1"/>
      <c r="O35" s="1"/>
      <c r="P35" s="1"/>
    </row>
    <row r="36" spans="1:16" x14ac:dyDescent="0.5">
      <c r="A36" s="1" t="s">
        <v>2</v>
      </c>
      <c r="B36" s="1" t="s">
        <v>351</v>
      </c>
      <c r="C36" s="1" t="s">
        <v>5</v>
      </c>
      <c r="D36" s="1"/>
      <c r="E36" s="1"/>
      <c r="F36" s="1"/>
      <c r="G36" s="1"/>
      <c r="H36" s="1"/>
      <c r="I36" s="1" t="s">
        <v>2</v>
      </c>
      <c r="J36" s="1" t="s">
        <v>3</v>
      </c>
      <c r="K36" s="1" t="s">
        <v>356</v>
      </c>
      <c r="L36" s="1" t="s">
        <v>357</v>
      </c>
      <c r="M36" s="1" t="s">
        <v>9</v>
      </c>
      <c r="N36" s="1" t="s">
        <v>28</v>
      </c>
      <c r="O36" s="1" t="s">
        <v>29</v>
      </c>
      <c r="P36" s="1"/>
    </row>
    <row r="37" spans="1:16" x14ac:dyDescent="0.5">
      <c r="A37" t="s">
        <v>58</v>
      </c>
      <c r="B37" s="2">
        <v>5000</v>
      </c>
      <c r="C37" s="2"/>
      <c r="I37" t="str">
        <f>IF(Sweet!A55=0,"",Sweet!A55)</f>
        <v>2015/03/01</v>
      </c>
      <c r="J37" s="2">
        <v>0</v>
      </c>
      <c r="K37" s="2">
        <f>IF(I37="","",SUMIF(A37:A48,I37,B37:B48) + SUMIF(A37:A48,I37,C37:C48))</f>
        <v>0</v>
      </c>
      <c r="L37" s="2">
        <f>IF(I37="","",SUMIF(A53:A64,I37,B53:B64) + SUMIF(A53:A64,I37,C53:C64))</f>
        <v>0</v>
      </c>
      <c r="M37" s="2"/>
      <c r="N37" s="2"/>
      <c r="O37" s="2">
        <f t="shared" ref="O37:O48" si="11">IF(I37="","",SUM(J37+K37-L37+M37-N37))</f>
        <v>0</v>
      </c>
      <c r="P37" s="2"/>
    </row>
    <row r="38" spans="1:16" x14ac:dyDescent="0.5">
      <c r="A38" t="s">
        <v>61</v>
      </c>
      <c r="B38" s="2">
        <v>4987</v>
      </c>
      <c r="C38" s="2"/>
      <c r="I38" t="str">
        <f>IF(Sweet!A56=0,"",Sweet!A56)</f>
        <v>2015/04/01</v>
      </c>
      <c r="J38" s="2">
        <f t="shared" ref="J38:J48" si="12">IF(I38="","",SUM(O37))</f>
        <v>0</v>
      </c>
      <c r="K38" s="2">
        <f>IF(I38="","",SUMIF(A37:A48,I38,B37:B48) + SUMIF(A37:A48,I38,C37:C48))</f>
        <v>0</v>
      </c>
      <c r="L38" s="2">
        <f>IF(I38="","",SUMIF(A53:A64,I38,B53:B64) + SUMIF(A53:A64,I38,C53:C64))</f>
        <v>0</v>
      </c>
      <c r="M38" s="2"/>
      <c r="N38" s="2"/>
      <c r="O38" s="2">
        <f t="shared" si="11"/>
        <v>0</v>
      </c>
      <c r="P38" s="2"/>
    </row>
    <row r="39" spans="1:16" x14ac:dyDescent="0.5">
      <c r="A39" t="s">
        <v>62</v>
      </c>
      <c r="B39" s="2">
        <v>5024</v>
      </c>
      <c r="C39" s="2"/>
      <c r="I39" t="str">
        <f>IF(Sweet!A57=0,"",Sweet!A57)</f>
        <v>2015/05/01</v>
      </c>
      <c r="J39" s="2">
        <f t="shared" si="12"/>
        <v>0</v>
      </c>
      <c r="K39" s="2">
        <f>IF(I39="","",SUMIF(A37:A48,I39,B37:B48) + SUMIF(A37:A48,I39,C37:C48))</f>
        <v>5000</v>
      </c>
      <c r="L39" s="2">
        <f>IF(I39="","",SUMIF(A53:A64,I39,B53:B64) + SUMIF(A53:A64,I39,C53:C64))</f>
        <v>0</v>
      </c>
      <c r="M39" s="2"/>
      <c r="N39" s="2"/>
      <c r="O39" s="2">
        <f t="shared" si="11"/>
        <v>5000</v>
      </c>
      <c r="P39" s="2"/>
    </row>
    <row r="40" spans="1:16" x14ac:dyDescent="0.5">
      <c r="A40" t="s">
        <v>64</v>
      </c>
      <c r="B40" s="2">
        <v>101</v>
      </c>
      <c r="C40" s="2"/>
      <c r="I40" t="str">
        <f>IF(Sweet!A58=0,"",Sweet!A58)</f>
        <v>2015/06/01</v>
      </c>
      <c r="J40" s="2">
        <f t="shared" si="12"/>
        <v>5000</v>
      </c>
      <c r="K40" s="2">
        <f>IF(I40="","",SUMIF(A37:A48,I40,B37:B48) + SUMIF(A37:A48,I40,C37:C48))</f>
        <v>0</v>
      </c>
      <c r="L40" s="2">
        <f>IF(I40="","",SUMIF(A53:A64,I40,B53:B64) + SUMIF(A53:A64,I40,C53:C64))</f>
        <v>0</v>
      </c>
      <c r="M40" s="2"/>
      <c r="N40" s="2"/>
      <c r="O40" s="2">
        <f t="shared" si="11"/>
        <v>5000</v>
      </c>
      <c r="P40" s="2"/>
    </row>
    <row r="41" spans="1:16" x14ac:dyDescent="0.5">
      <c r="A41" t="s">
        <v>67</v>
      </c>
      <c r="B41" s="2">
        <v>15715</v>
      </c>
      <c r="C41" s="2"/>
      <c r="I41" t="str">
        <f>IF(Sweet!A59=0,"",Sweet!A59)</f>
        <v>2015/07/01</v>
      </c>
      <c r="J41" s="2">
        <f t="shared" si="12"/>
        <v>5000</v>
      </c>
      <c r="K41" s="2">
        <f>IF(I41="","",SUMIF(A37:A48,I41,B37:B48) + SUMIF(A37:A48,I41,C37:C48))</f>
        <v>0</v>
      </c>
      <c r="L41" s="2">
        <f>IF(I41="","",SUMIF(A53:A64,I41,B53:B64) + SUMIF(A53:A64,I41,C53:C64))</f>
        <v>0</v>
      </c>
      <c r="M41" s="2"/>
      <c r="N41" s="2"/>
      <c r="O41" s="2">
        <f t="shared" si="11"/>
        <v>5000</v>
      </c>
      <c r="P41" s="2"/>
    </row>
    <row r="42" spans="1:16" x14ac:dyDescent="0.5">
      <c r="B42" s="2"/>
      <c r="C42" s="2"/>
      <c r="I42" t="str">
        <f>IF(Sweet!A60=0,"",Sweet!A60)</f>
        <v>2015/08/01</v>
      </c>
      <c r="J42" s="2">
        <f t="shared" si="12"/>
        <v>5000</v>
      </c>
      <c r="K42" s="2">
        <f>IF(I42="","",SUMIF(A37:A48,I42,B37:B48) + SUMIF(A37:A48,I42,C37:C48))</f>
        <v>4987</v>
      </c>
      <c r="L42" s="2">
        <f>IF(I42="","",SUMIF(A53:A64,I42,B53:B64) + SUMIF(A53:A64,I42,C53:C64))</f>
        <v>0</v>
      </c>
      <c r="M42" s="2"/>
      <c r="N42" s="2"/>
      <c r="O42" s="2">
        <f t="shared" si="11"/>
        <v>9987</v>
      </c>
      <c r="P42" s="2"/>
    </row>
    <row r="43" spans="1:16" x14ac:dyDescent="0.5">
      <c r="B43" s="2"/>
      <c r="C43" s="2"/>
      <c r="I43" t="str">
        <f>IF(Sweet!A61=0,"",Sweet!A61)</f>
        <v>2015/09/01</v>
      </c>
      <c r="J43" s="2">
        <f t="shared" si="12"/>
        <v>9987</v>
      </c>
      <c r="K43" s="2">
        <f>IF(I43="","",SUMIF(A37:A48,I43,B37:B48) + SUMIF(A37:A48,I43,C37:C48))</f>
        <v>5024</v>
      </c>
      <c r="L43" s="2">
        <f>IF(I43="","",SUMIF(A53:A64,I43,B53:B64) + SUMIF(A53:A64,I43,C53:C64))</f>
        <v>8918</v>
      </c>
      <c r="M43" s="2"/>
      <c r="N43" s="2"/>
      <c r="O43" s="2">
        <f t="shared" si="11"/>
        <v>6093</v>
      </c>
      <c r="P43" s="2"/>
    </row>
    <row r="44" spans="1:16" x14ac:dyDescent="0.5">
      <c r="B44" s="2"/>
      <c r="C44" s="2"/>
      <c r="I44" t="str">
        <f>IF(Sweet!A62=0,"",Sweet!A62)</f>
        <v>2015/10/01</v>
      </c>
      <c r="J44" s="2">
        <f t="shared" si="12"/>
        <v>6093</v>
      </c>
      <c r="K44" s="2">
        <f>IF(I44="","",SUMIF(A37:A48,I44,B37:B48) + SUMIF(A37:A48,I44,C37:C48))</f>
        <v>0</v>
      </c>
      <c r="L44" s="2">
        <f>IF(I44="","",SUMIF(A53:A64,I44,B53:B64) + SUMIF(A53:A64,I44,C53:C64))</f>
        <v>4111</v>
      </c>
      <c r="M44" s="2"/>
      <c r="N44" s="2"/>
      <c r="O44" s="2">
        <f t="shared" si="11"/>
        <v>1982</v>
      </c>
      <c r="P44" s="2"/>
    </row>
    <row r="45" spans="1:16" x14ac:dyDescent="0.5">
      <c r="B45" s="2"/>
      <c r="C45" s="2"/>
      <c r="I45" t="str">
        <f>IF(Sweet!A63=0,"",Sweet!A63)</f>
        <v>2015/11/01</v>
      </c>
      <c r="J45" s="2">
        <f t="shared" si="12"/>
        <v>1982</v>
      </c>
      <c r="K45" s="2">
        <f>IF(I45="","",SUMIF(A37:A48,I45,B37:B48) + SUMIF(A37:A48,I45,C37:C48))</f>
        <v>101</v>
      </c>
      <c r="L45" s="2">
        <f>IF(I45="","",SUMIF(A53:A64,I45,B53:B64) + SUMIF(A53:A64,I45,C53:C64))</f>
        <v>2003</v>
      </c>
      <c r="M45" s="2"/>
      <c r="N45" s="2"/>
      <c r="O45" s="2">
        <f t="shared" si="11"/>
        <v>80</v>
      </c>
      <c r="P45" s="2"/>
    </row>
    <row r="46" spans="1:16" x14ac:dyDescent="0.5">
      <c r="B46" s="2"/>
      <c r="C46" s="2"/>
      <c r="I46" t="str">
        <f>IF(Sweet!A64=0,"",Sweet!A64)</f>
        <v>2015/12/01</v>
      </c>
      <c r="J46" s="2">
        <f t="shared" si="12"/>
        <v>80</v>
      </c>
      <c r="K46" s="2">
        <f>IF(I46="","",SUMIF(A37:A48,I46,B37:B48) + SUMIF(A37:A48,I46,C37:C48))</f>
        <v>0</v>
      </c>
      <c r="L46" s="2">
        <f>IF(I46="","",SUMIF(A53:A64,I46,B53:B64) + SUMIF(A53:A64,I46,C53:C64))</f>
        <v>32</v>
      </c>
      <c r="M46" s="2"/>
      <c r="N46" s="2"/>
      <c r="O46" s="2">
        <f t="shared" si="11"/>
        <v>48</v>
      </c>
      <c r="P46" s="2"/>
    </row>
    <row r="47" spans="1:16" x14ac:dyDescent="0.5">
      <c r="B47" s="2"/>
      <c r="C47" s="2"/>
      <c r="I47" t="str">
        <f>IF(Sweet!A65=0,"",Sweet!A65)</f>
        <v>2016/01/01</v>
      </c>
      <c r="J47" s="2">
        <f t="shared" si="12"/>
        <v>48</v>
      </c>
      <c r="K47" s="2">
        <f>IF(I47="","",SUMIF(A37:A48,I47,B37:B48) + SUMIF(A37:A48,I47,C37:C48))</f>
        <v>0</v>
      </c>
      <c r="L47" s="2">
        <f>IF(I47="","",SUMIF(A53:A64,I47,B53:B64) + SUMIF(A53:A64,I47,C53:C64))</f>
        <v>34</v>
      </c>
      <c r="M47" s="2">
        <v>21</v>
      </c>
      <c r="N47" s="2">
        <v>0</v>
      </c>
      <c r="O47" s="2">
        <f t="shared" si="11"/>
        <v>35</v>
      </c>
      <c r="P47" s="2"/>
    </row>
    <row r="48" spans="1:16" x14ac:dyDescent="0.5">
      <c r="B48" s="2"/>
      <c r="C48" s="2"/>
      <c r="I48" t="str">
        <f>IF(Sweet!A66=0,"",Sweet!A66)</f>
        <v>2016/02/01</v>
      </c>
      <c r="J48" s="2">
        <f t="shared" si="12"/>
        <v>35</v>
      </c>
      <c r="K48" s="2">
        <f>IF(I48="","",SUMIF(A37:A48,I48,B37:B48) + SUMIF(A37:A48,I48,C37:C48))</f>
        <v>15715</v>
      </c>
      <c r="L48" s="2">
        <f>IF(I48="","",SUMIF(A53:A64,I48,B53:B64) + SUMIF(A53:A64,I48,C53:C64))</f>
        <v>0</v>
      </c>
      <c r="M48" s="2"/>
      <c r="N48" s="2"/>
      <c r="O48" s="2">
        <f t="shared" si="11"/>
        <v>15750</v>
      </c>
      <c r="P48" s="2"/>
    </row>
    <row r="49" spans="1:16" x14ac:dyDescent="0.5">
      <c r="A49" s="1"/>
      <c r="B49" s="4">
        <f>SUM(B37:B48)</f>
        <v>30827</v>
      </c>
      <c r="C49" s="6">
        <f>SUM(C37:C48)</f>
        <v>0</v>
      </c>
      <c r="D49" s="1"/>
      <c r="E49" s="1"/>
      <c r="F49" s="1"/>
      <c r="G49" s="1"/>
      <c r="H49" s="1"/>
      <c r="I49" s="1"/>
      <c r="J49" s="4"/>
      <c r="K49" s="5">
        <f>SUM(K37:K48)</f>
        <v>30827</v>
      </c>
      <c r="L49" s="5">
        <f>SUM(L37:L48)</f>
        <v>15098</v>
      </c>
      <c r="M49" s="5">
        <f>SUM(M37:M48)</f>
        <v>21</v>
      </c>
      <c r="N49" s="5">
        <f>SUM(N37:N48)</f>
        <v>0</v>
      </c>
      <c r="O49" s="6"/>
      <c r="P49" s="3"/>
    </row>
    <row r="50" spans="1:16" x14ac:dyDescent="0.5">
      <c r="A50" s="1"/>
      <c r="B50" s="3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5">
      <c r="A51" s="1"/>
      <c r="B51" s="3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5">
      <c r="A52" s="1" t="s">
        <v>2</v>
      </c>
      <c r="B52" s="3" t="s">
        <v>360</v>
      </c>
      <c r="C52" s="3" t="s">
        <v>19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5">
      <c r="A53" t="s">
        <v>62</v>
      </c>
      <c r="B53" s="2">
        <v>5300</v>
      </c>
      <c r="C53" s="2">
        <v>3618</v>
      </c>
    </row>
    <row r="54" spans="1:16" x14ac:dyDescent="0.5">
      <c r="A54" t="s">
        <v>63</v>
      </c>
      <c r="B54" s="2"/>
      <c r="C54" s="2">
        <v>4111</v>
      </c>
    </row>
    <row r="55" spans="1:16" x14ac:dyDescent="0.5">
      <c r="A55" t="s">
        <v>64</v>
      </c>
      <c r="B55" s="2"/>
      <c r="C55" s="2">
        <v>2003</v>
      </c>
    </row>
    <row r="56" spans="1:16" x14ac:dyDescent="0.5">
      <c r="A56" t="s">
        <v>65</v>
      </c>
      <c r="B56" s="2"/>
      <c r="C56" s="2">
        <v>32</v>
      </c>
    </row>
    <row r="57" spans="1:16" x14ac:dyDescent="0.5">
      <c r="A57" t="s">
        <v>66</v>
      </c>
      <c r="B57" s="2"/>
      <c r="C57" s="2">
        <v>34</v>
      </c>
    </row>
    <row r="58" spans="1:16" x14ac:dyDescent="0.5">
      <c r="B58" s="2"/>
      <c r="C58" s="2"/>
    </row>
    <row r="59" spans="1:16" x14ac:dyDescent="0.5">
      <c r="B59" s="2"/>
      <c r="C59" s="2"/>
    </row>
    <row r="60" spans="1:16" x14ac:dyDescent="0.5">
      <c r="B60" s="2"/>
      <c r="C60" s="2"/>
    </row>
    <row r="61" spans="1:16" x14ac:dyDescent="0.5">
      <c r="B61" s="2"/>
      <c r="C61" s="2"/>
    </row>
    <row r="62" spans="1:16" x14ac:dyDescent="0.5">
      <c r="B62" s="2"/>
      <c r="C62" s="2"/>
    </row>
    <row r="63" spans="1:16" x14ac:dyDescent="0.5">
      <c r="B63" s="2"/>
      <c r="C63" s="2"/>
    </row>
    <row r="64" spans="1:16" x14ac:dyDescent="0.5">
      <c r="B64" s="2"/>
      <c r="C64" s="2"/>
    </row>
    <row r="65" spans="1:3" x14ac:dyDescent="0.5">
      <c r="A65" s="1"/>
      <c r="B65" s="4">
        <f>SUM(B53:B64)</f>
        <v>5300</v>
      </c>
      <c r="C65" s="6">
        <f>SUM(C53:C64)</f>
        <v>9798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65"/>
  <sheetViews>
    <sheetView zoomScale="55" workbookViewId="0">
      <selection activeCell="K33" sqref="K33"/>
    </sheetView>
  </sheetViews>
  <sheetFormatPr defaultRowHeight="28.2" x14ac:dyDescent="0.5"/>
  <cols>
    <col min="1" max="1" width="73" bestFit="1" customWidth="1"/>
    <col min="2" max="2" width="17.52734375" bestFit="1" customWidth="1"/>
    <col min="3" max="3" width="16.3515625" bestFit="1" customWidth="1"/>
    <col min="4" max="4" width="28.17578125" bestFit="1" customWidth="1"/>
    <col min="5" max="5" width="27" bestFit="1" customWidth="1"/>
    <col min="6" max="6" width="16.3515625" bestFit="1" customWidth="1"/>
    <col min="7" max="7" width="15.29296875" bestFit="1" customWidth="1"/>
    <col min="8" max="8" width="1.17578125" bestFit="1" customWidth="1"/>
    <col min="9" max="9" width="30.52734375" bestFit="1" customWidth="1"/>
    <col min="10" max="12" width="16.3515625" bestFit="1" customWidth="1"/>
    <col min="13" max="14" width="9.29296875" bestFit="1" customWidth="1"/>
    <col min="15" max="15" width="16.3515625" bestFit="1" customWidth="1"/>
    <col min="16" max="51" width="9.05859375" bestFit="1"/>
  </cols>
  <sheetData>
    <row r="1" spans="1:15" x14ac:dyDescent="0.5">
      <c r="A1" s="1" t="s">
        <v>348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5">
      <c r="A2" s="1" t="s">
        <v>365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5">
      <c r="A3" s="1"/>
      <c r="B3" s="1"/>
      <c r="C3" s="1"/>
      <c r="D3" s="1"/>
      <c r="E3" s="1"/>
      <c r="F3" s="1"/>
      <c r="G3" s="1"/>
      <c r="H3" s="1"/>
      <c r="I3" s="1" t="s">
        <v>350</v>
      </c>
      <c r="J3" s="1"/>
      <c r="K3" s="1"/>
      <c r="L3" s="1"/>
      <c r="M3" s="1"/>
      <c r="N3" s="1"/>
    </row>
    <row r="4" spans="1:15" x14ac:dyDescent="0.5">
      <c r="A4" s="1" t="s">
        <v>2</v>
      </c>
      <c r="B4" s="1" t="s">
        <v>351</v>
      </c>
      <c r="C4" s="1" t="s">
        <v>5</v>
      </c>
      <c r="D4" s="1" t="s">
        <v>352</v>
      </c>
      <c r="E4" s="1" t="s">
        <v>353</v>
      </c>
      <c r="F4" s="1" t="s">
        <v>354</v>
      </c>
      <c r="G4" s="1" t="s">
        <v>355</v>
      </c>
      <c r="H4" s="1"/>
      <c r="I4" s="1" t="s">
        <v>2</v>
      </c>
      <c r="J4" s="1" t="s">
        <v>3</v>
      </c>
      <c r="K4" s="1" t="s">
        <v>356</v>
      </c>
      <c r="L4" s="1" t="s">
        <v>357</v>
      </c>
      <c r="M4" s="1" t="s">
        <v>9</v>
      </c>
      <c r="N4" s="1" t="s">
        <v>28</v>
      </c>
      <c r="O4" t="s">
        <v>29</v>
      </c>
    </row>
    <row r="5" spans="1:15" x14ac:dyDescent="0.5">
      <c r="B5" s="2"/>
      <c r="C5" s="2"/>
      <c r="D5" s="2"/>
      <c r="E5" s="2"/>
      <c r="F5" s="2" t="str">
        <f t="shared" ref="F5:F16" si="0">IF(A5="","",SUM(B5+D5))</f>
        <v/>
      </c>
      <c r="G5" s="2" t="str">
        <f t="shared" ref="G5:G16" si="1">IF(A5="","",SUM(C5+E5))</f>
        <v/>
      </c>
      <c r="I5" t="str">
        <f>IF(Bitter!A5=0,"",Bitter!A5)</f>
        <v>2016/03/01</v>
      </c>
      <c r="J5" s="2">
        <v>0</v>
      </c>
      <c r="K5" s="2">
        <f>IF(I5="","",SUMIF(A5:A16,I5,F5:F16) + SUMIF(A5:A16,I5,G5:G16))</f>
        <v>0</v>
      </c>
      <c r="L5" s="2">
        <f>IF(I5="","",SUMIF(A21:A32,I5,F21:F32) + SUMIF(A21:A32,I5,G21:G32))</f>
        <v>0</v>
      </c>
      <c r="M5" s="2">
        <f t="shared" ref="M5:M16" si="2">IF(I5="","",0)</f>
        <v>0</v>
      </c>
      <c r="N5">
        <f t="shared" ref="N5:N16" si="3">IF(I5="","",0)</f>
        <v>0</v>
      </c>
      <c r="O5">
        <f t="shared" ref="O5:O16" si="4">IF(I5="","",SUM(J5+K5-L5+M5-N5))</f>
        <v>0</v>
      </c>
    </row>
    <row r="6" spans="1:15" x14ac:dyDescent="0.5">
      <c r="B6" s="2"/>
      <c r="C6" s="2"/>
      <c r="D6" s="2"/>
      <c r="E6" s="2"/>
      <c r="F6" s="2" t="str">
        <f t="shared" si="0"/>
        <v/>
      </c>
      <c r="G6" s="2" t="str">
        <f t="shared" si="1"/>
        <v/>
      </c>
      <c r="I6" t="str">
        <f>IF(Bitter!A6=0,"",Bitter!A6)</f>
        <v>2016/04/01</v>
      </c>
      <c r="J6" s="2">
        <f t="shared" ref="J6:J16" si="5">IF(I6="","",SUM(O5))</f>
        <v>0</v>
      </c>
      <c r="K6" s="2">
        <f>IF(I6="","",SUMIF(A5:A16,I6,F5:F16) + SUMIF(A5:A16,I5,G5:G16))</f>
        <v>0</v>
      </c>
      <c r="L6" s="2">
        <f>IF(I6="","",SUMIF(A21:A32,I6,F21:F32) + SUMIF(A21:A32,I6,G21:G32))</f>
        <v>0</v>
      </c>
      <c r="M6" s="2">
        <f t="shared" si="2"/>
        <v>0</v>
      </c>
      <c r="N6">
        <f t="shared" si="3"/>
        <v>0</v>
      </c>
      <c r="O6">
        <f t="shared" si="4"/>
        <v>0</v>
      </c>
    </row>
    <row r="7" spans="1:15" x14ac:dyDescent="0.5">
      <c r="B7" s="2"/>
      <c r="C7" s="2"/>
      <c r="D7" s="2"/>
      <c r="E7" s="2"/>
      <c r="F7" s="2" t="str">
        <f t="shared" si="0"/>
        <v/>
      </c>
      <c r="G7" s="2" t="str">
        <f t="shared" si="1"/>
        <v/>
      </c>
      <c r="I7" t="str">
        <f>IF(Bitter!A7=0,"",Bitter!A7)</f>
        <v>2016/05/01</v>
      </c>
      <c r="J7" s="2">
        <f t="shared" si="5"/>
        <v>0</v>
      </c>
      <c r="K7" s="2">
        <f>IF(I7="","",SUMIF(A5:A16,I7,F5:F16) + SUMIF(A5:A16,I5,G5:G16))</f>
        <v>0</v>
      </c>
      <c r="L7" s="2">
        <f>IF(I7="","",SUMIF(A21:A32,I7,F21:F32) + SUMIF(A21:A32,I7,G21:G32))</f>
        <v>0</v>
      </c>
      <c r="M7" s="2">
        <f t="shared" si="2"/>
        <v>0</v>
      </c>
      <c r="N7">
        <f t="shared" si="3"/>
        <v>0</v>
      </c>
      <c r="O7">
        <f t="shared" si="4"/>
        <v>0</v>
      </c>
    </row>
    <row r="8" spans="1:15" x14ac:dyDescent="0.5">
      <c r="B8" s="2"/>
      <c r="C8" s="2"/>
      <c r="D8" s="2"/>
      <c r="E8" s="2"/>
      <c r="F8" s="2" t="str">
        <f t="shared" si="0"/>
        <v/>
      </c>
      <c r="G8" s="2" t="str">
        <f t="shared" si="1"/>
        <v/>
      </c>
      <c r="I8" t="str">
        <f>IF(Bitter!A8=0,"",Bitter!A8)</f>
        <v>2016/06/01</v>
      </c>
      <c r="J8" s="2">
        <f t="shared" si="5"/>
        <v>0</v>
      </c>
      <c r="K8" s="2">
        <f>IF(I8="","",SUMIF(A5:A16,I8,F5:F16) + SUMIF(A5:A16,I5,G5:G16))</f>
        <v>0</v>
      </c>
      <c r="L8" s="2">
        <f>IF(I8="","",SUMIF(A21:A32,I8,F21:F32) + SUMIF(A21:A32,I8,G21:G32))</f>
        <v>0</v>
      </c>
      <c r="M8" s="2">
        <f t="shared" si="2"/>
        <v>0</v>
      </c>
      <c r="N8">
        <f t="shared" si="3"/>
        <v>0</v>
      </c>
      <c r="O8">
        <f t="shared" si="4"/>
        <v>0</v>
      </c>
    </row>
    <row r="9" spans="1:15" x14ac:dyDescent="0.5">
      <c r="B9" s="2"/>
      <c r="C9" s="2"/>
      <c r="D9" s="2"/>
      <c r="E9" s="2"/>
      <c r="F9" s="2" t="str">
        <f t="shared" si="0"/>
        <v/>
      </c>
      <c r="G9" s="2" t="str">
        <f t="shared" si="1"/>
        <v/>
      </c>
      <c r="I9" t="str">
        <f>IF(Bitter!A9=0,"",Bitter!A9)</f>
        <v>2016/07/01</v>
      </c>
      <c r="J9" s="2">
        <f t="shared" si="5"/>
        <v>0</v>
      </c>
      <c r="K9" s="2">
        <f>IF(I9="","",SUMIF(A5:A16,I9,F5:F16) + SUMIF(A5:A16,I5,G5:G16))</f>
        <v>0</v>
      </c>
      <c r="L9" s="2">
        <f>IF(I9="","",SUMIF(A21:A32,I9,F21:F32) + SUMIF(A21:A32,I9,G21:G32))</f>
        <v>0</v>
      </c>
      <c r="M9" s="2">
        <f t="shared" si="2"/>
        <v>0</v>
      </c>
      <c r="N9">
        <f t="shared" si="3"/>
        <v>0</v>
      </c>
      <c r="O9">
        <f t="shared" si="4"/>
        <v>0</v>
      </c>
    </row>
    <row r="10" spans="1:15" x14ac:dyDescent="0.5">
      <c r="B10" s="2"/>
      <c r="C10" s="2"/>
      <c r="D10" s="2"/>
      <c r="E10" s="2"/>
      <c r="F10" s="2" t="str">
        <f t="shared" si="0"/>
        <v/>
      </c>
      <c r="G10" s="2" t="str">
        <f t="shared" si="1"/>
        <v/>
      </c>
      <c r="I10" t="str">
        <f>IF(Bitter!A10=0,"",Bitter!A10)</f>
        <v>2016/08/01</v>
      </c>
      <c r="J10" s="2">
        <f t="shared" si="5"/>
        <v>0</v>
      </c>
      <c r="K10" s="2">
        <f>IF(I10="","",SUMIF(A5:A16,I10,F5:F16) + SUMIF(A5:A16,I5,G5:G16))</f>
        <v>0</v>
      </c>
      <c r="L10" s="2">
        <f>IF(I10="","",SUMIF(A21:A32,I10,F21:F32) + SUMIF(A21:A32,I10,G21:G32))</f>
        <v>0</v>
      </c>
      <c r="M10" s="2">
        <f t="shared" si="2"/>
        <v>0</v>
      </c>
      <c r="N10">
        <f t="shared" si="3"/>
        <v>0</v>
      </c>
      <c r="O10">
        <f t="shared" si="4"/>
        <v>0</v>
      </c>
    </row>
    <row r="11" spans="1:15" x14ac:dyDescent="0.5">
      <c r="B11" s="2"/>
      <c r="C11" s="2"/>
      <c r="D11" s="2"/>
      <c r="E11" s="2"/>
      <c r="F11" s="2" t="str">
        <f t="shared" si="0"/>
        <v/>
      </c>
      <c r="G11" s="2" t="str">
        <f t="shared" si="1"/>
        <v/>
      </c>
      <c r="I11" t="str">
        <f>IF(Bitter!A11=0,"",Bitter!A11)</f>
        <v>2016/09/01</v>
      </c>
      <c r="J11" s="2">
        <f t="shared" si="5"/>
        <v>0</v>
      </c>
      <c r="K11" s="2">
        <f>IF(I11="","",SUMIF(A5:A16,I11,F5:F16) + SUMIF(A5:A16,I5,G5:G16))</f>
        <v>0</v>
      </c>
      <c r="L11" s="2">
        <f>IF(I11="","",SUMIF(A21:A32,I11,F21:F32) + SUMIF(A21:A32,I11,G21:G32))</f>
        <v>0</v>
      </c>
      <c r="M11" s="2">
        <f t="shared" si="2"/>
        <v>0</v>
      </c>
      <c r="N11">
        <f t="shared" si="3"/>
        <v>0</v>
      </c>
      <c r="O11">
        <f t="shared" si="4"/>
        <v>0</v>
      </c>
    </row>
    <row r="12" spans="1:15" x14ac:dyDescent="0.5">
      <c r="B12" s="2"/>
      <c r="C12" s="2"/>
      <c r="D12" s="2"/>
      <c r="E12" s="2"/>
      <c r="F12" s="2" t="str">
        <f t="shared" si="0"/>
        <v/>
      </c>
      <c r="G12" s="2" t="str">
        <f t="shared" si="1"/>
        <v/>
      </c>
      <c r="I12" t="str">
        <f>IF(Bitter!A12=0,"",Bitter!A12)</f>
        <v>2016/10/01</v>
      </c>
      <c r="J12" s="2">
        <f t="shared" si="5"/>
        <v>0</v>
      </c>
      <c r="K12" s="2">
        <f>IF(I12="","",SUMIF(A5:A16,I12,F5:F16) + SUMIF(A5:A16,I5,G5:G16))</f>
        <v>0</v>
      </c>
      <c r="L12" s="2">
        <f>IF(I12="","",SUMIF(A21:A32,I12,F21:F32) + SUMIF(A21:A32,I12,G21:G32))</f>
        <v>0</v>
      </c>
      <c r="M12" s="2">
        <f t="shared" si="2"/>
        <v>0</v>
      </c>
      <c r="N12">
        <f t="shared" si="3"/>
        <v>0</v>
      </c>
      <c r="O12">
        <f t="shared" si="4"/>
        <v>0</v>
      </c>
    </row>
    <row r="13" spans="1:15" x14ac:dyDescent="0.5">
      <c r="B13" s="2"/>
      <c r="C13" s="2"/>
      <c r="D13" s="2"/>
      <c r="E13" s="2"/>
      <c r="F13" s="2" t="str">
        <f t="shared" si="0"/>
        <v/>
      </c>
      <c r="G13" s="2" t="str">
        <f t="shared" si="1"/>
        <v/>
      </c>
      <c r="I13" t="str">
        <f>IF(Bitter!A13=0,"",Bitter!A13)</f>
        <v>2016/11/01</v>
      </c>
      <c r="J13" s="2">
        <f t="shared" si="5"/>
        <v>0</v>
      </c>
      <c r="K13" s="2">
        <f>IF(I13="","",SUMIF(A5:A16,I13,F5:F16) + SUMIF(A5:A16,I5,G5:G16))</f>
        <v>0</v>
      </c>
      <c r="L13" s="2">
        <f>IF(I13="","",SUMIF(A21:A32,I13,F21:F32) + SUMIF(A21:A32,I13,G21:G32))</f>
        <v>0</v>
      </c>
      <c r="M13" s="2">
        <f t="shared" si="2"/>
        <v>0</v>
      </c>
      <c r="N13">
        <f t="shared" si="3"/>
        <v>0</v>
      </c>
      <c r="O13">
        <f t="shared" si="4"/>
        <v>0</v>
      </c>
    </row>
    <row r="14" spans="1:15" x14ac:dyDescent="0.5">
      <c r="B14" s="2"/>
      <c r="C14" s="2"/>
      <c r="D14" s="2"/>
      <c r="E14" s="2"/>
      <c r="F14" s="2" t="str">
        <f t="shared" si="0"/>
        <v/>
      </c>
      <c r="G14" s="2" t="str">
        <f t="shared" si="1"/>
        <v/>
      </c>
      <c r="I14" t="str">
        <f>IF(Bitter!A14=0,"",Bitter!A14)</f>
        <v>2016/12/01</v>
      </c>
      <c r="J14" s="2">
        <f t="shared" si="5"/>
        <v>0</v>
      </c>
      <c r="K14" s="2">
        <f>IF(I14="","",SUMIF(A5:A16,I14,F5:F16) + SUMIF(A5:A16,I5,G5:G16))</f>
        <v>0</v>
      </c>
      <c r="L14" s="2">
        <f>IF(I14="","",SUMIF(A21:A32,I14,F21:F32) + SUMIF(A21:A32,I14,G21:G32))</f>
        <v>0</v>
      </c>
      <c r="M14" s="2">
        <f t="shared" si="2"/>
        <v>0</v>
      </c>
      <c r="N14">
        <f t="shared" si="3"/>
        <v>0</v>
      </c>
      <c r="O14">
        <f t="shared" si="4"/>
        <v>0</v>
      </c>
    </row>
    <row r="15" spans="1:15" x14ac:dyDescent="0.5">
      <c r="B15" s="2"/>
      <c r="C15" s="2"/>
      <c r="D15" s="2"/>
      <c r="E15" s="2"/>
      <c r="F15" s="2" t="str">
        <f t="shared" si="0"/>
        <v/>
      </c>
      <c r="G15" s="2" t="str">
        <f t="shared" si="1"/>
        <v/>
      </c>
      <c r="I15" t="str">
        <f>IF(Bitter!A15=0,"",Bitter!A15)</f>
        <v>2017/01/01</v>
      </c>
      <c r="J15" s="2">
        <f t="shared" si="5"/>
        <v>0</v>
      </c>
      <c r="K15" s="2">
        <f>IF(I15="","",SUMIF(A5:A16,I15,F5:F16) + SUMIF(A5:A16,I5,G5:G16))</f>
        <v>0</v>
      </c>
      <c r="L15" s="2">
        <f>IF(I15="","",SUMIF(A21:A32,I15,F21:F32) + SUMIF(A21:A32,I15,G21:G32))</f>
        <v>0</v>
      </c>
      <c r="M15" s="2">
        <f t="shared" si="2"/>
        <v>0</v>
      </c>
      <c r="N15">
        <f t="shared" si="3"/>
        <v>0</v>
      </c>
      <c r="O15">
        <f t="shared" si="4"/>
        <v>0</v>
      </c>
    </row>
    <row r="16" spans="1:15" x14ac:dyDescent="0.5">
      <c r="B16" s="2"/>
      <c r="C16" s="2"/>
      <c r="D16" s="2"/>
      <c r="E16" s="2"/>
      <c r="F16" s="2" t="str">
        <f t="shared" si="0"/>
        <v/>
      </c>
      <c r="G16" s="2" t="str">
        <f t="shared" si="1"/>
        <v/>
      </c>
      <c r="I16" t="str">
        <f>IF(Bitter!A16=0,"",Bitter!A16)</f>
        <v>2017/02/01</v>
      </c>
      <c r="J16" s="2">
        <f t="shared" si="5"/>
        <v>0</v>
      </c>
      <c r="K16" s="2">
        <f>IF(I16="","",SUMIF(A5:A16,I16,F5:F16) + SUMIF(A5:A16,I5,G5:G16))</f>
        <v>0</v>
      </c>
      <c r="L16" s="2">
        <f>IF(I16="","",SUMIF(A21:A32,I16,F21:F32) + SUMIF(A21:A32,I16,G21:G32))</f>
        <v>0</v>
      </c>
      <c r="M16" s="2">
        <f t="shared" si="2"/>
        <v>0</v>
      </c>
      <c r="N16">
        <f t="shared" si="3"/>
        <v>0</v>
      </c>
      <c r="O16">
        <f t="shared" si="4"/>
        <v>0</v>
      </c>
    </row>
    <row r="17" spans="1:11" x14ac:dyDescent="0.5">
      <c r="A17" s="1"/>
      <c r="B17" s="4">
        <f t="shared" ref="B17:G17" si="6">SUM(B5:B16)</f>
        <v>0</v>
      </c>
      <c r="C17" s="5">
        <f t="shared" si="6"/>
        <v>0</v>
      </c>
      <c r="D17" s="5">
        <f t="shared" si="6"/>
        <v>0</v>
      </c>
      <c r="E17" s="5">
        <f t="shared" si="6"/>
        <v>0</v>
      </c>
      <c r="F17" s="5">
        <f t="shared" si="6"/>
        <v>0</v>
      </c>
      <c r="G17" s="6">
        <f t="shared" si="6"/>
        <v>0</v>
      </c>
    </row>
    <row r="18" spans="1:11" x14ac:dyDescent="0.5">
      <c r="A18" s="1"/>
      <c r="B18" s="1"/>
      <c r="C18" s="1"/>
      <c r="D18" s="1"/>
      <c r="E18" s="1"/>
      <c r="F18" s="1"/>
      <c r="G18" s="1"/>
    </row>
    <row r="19" spans="1:11" x14ac:dyDescent="0.5">
      <c r="A19" s="1" t="s">
        <v>358</v>
      </c>
      <c r="B19" s="1"/>
      <c r="C19" s="1"/>
      <c r="D19" s="1"/>
      <c r="E19" s="1"/>
      <c r="F19" s="1"/>
      <c r="G19" s="1"/>
      <c r="I19" t="s">
        <v>359</v>
      </c>
    </row>
    <row r="20" spans="1:11" x14ac:dyDescent="0.5">
      <c r="A20" s="1" t="s">
        <v>2</v>
      </c>
      <c r="B20" s="1" t="s">
        <v>360</v>
      </c>
      <c r="C20" s="1" t="s">
        <v>19</v>
      </c>
      <c r="D20" s="1" t="s">
        <v>361</v>
      </c>
      <c r="E20" s="1" t="s">
        <v>362</v>
      </c>
      <c r="F20" s="1" t="s">
        <v>354</v>
      </c>
      <c r="G20" s="1" t="s">
        <v>355</v>
      </c>
      <c r="I20" t="s">
        <v>2</v>
      </c>
      <c r="J20" t="s">
        <v>354</v>
      </c>
      <c r="K20" t="s">
        <v>355</v>
      </c>
    </row>
    <row r="21" spans="1:11" x14ac:dyDescent="0.5">
      <c r="B21" s="2"/>
      <c r="C21" s="2"/>
      <c r="D21" s="2"/>
      <c r="E21" s="2"/>
      <c r="F21" s="2" t="str">
        <f t="shared" ref="F21:F32" si="7">IF(A21="","",SUM(B21+D21))</f>
        <v/>
      </c>
      <c r="G21" s="2" t="str">
        <f t="shared" ref="G21:G32" si="8">IF(A21="","",SUM(C21+E21))</f>
        <v/>
      </c>
      <c r="I21" t="str">
        <f t="shared" ref="I21:I32" si="9">I5</f>
        <v>2016/03/01</v>
      </c>
      <c r="J21">
        <f>IF(I21="","",SUMIF(A21:A32,I21,F21:F32))</f>
        <v>0</v>
      </c>
      <c r="K21">
        <f>IF(I21="","",SUMIF(A21:A32,I21,G21:G32))</f>
        <v>0</v>
      </c>
    </row>
    <row r="22" spans="1:11" x14ac:dyDescent="0.5">
      <c r="B22" s="2"/>
      <c r="C22" s="2"/>
      <c r="D22" s="2"/>
      <c r="E22" s="2"/>
      <c r="F22" s="2" t="str">
        <f t="shared" si="7"/>
        <v/>
      </c>
      <c r="G22" s="2" t="str">
        <f t="shared" si="8"/>
        <v/>
      </c>
      <c r="I22" t="str">
        <f t="shared" si="9"/>
        <v>2016/04/01</v>
      </c>
      <c r="J22">
        <f>IF(I22="","",SUMIF(A21:A32,I22,F21:F32))</f>
        <v>0</v>
      </c>
      <c r="K22">
        <f>IF(I22="","",SUMIF(A21:A32,I22,G21:G32))</f>
        <v>0</v>
      </c>
    </row>
    <row r="23" spans="1:11" x14ac:dyDescent="0.5">
      <c r="B23" s="2"/>
      <c r="C23" s="2"/>
      <c r="D23" s="2"/>
      <c r="E23" s="2"/>
      <c r="F23" s="2" t="str">
        <f t="shared" si="7"/>
        <v/>
      </c>
      <c r="G23" s="2" t="str">
        <f t="shared" si="8"/>
        <v/>
      </c>
      <c r="I23" t="str">
        <f t="shared" si="9"/>
        <v>2016/05/01</v>
      </c>
      <c r="J23">
        <f>IF(I23="","",SUMIF(A21:A32,I23,F21:F32))</f>
        <v>0</v>
      </c>
      <c r="K23">
        <f>IF(I23="","",SUMIF(A21:A32,I23,G21:G32))</f>
        <v>0</v>
      </c>
    </row>
    <row r="24" spans="1:11" x14ac:dyDescent="0.5">
      <c r="B24" s="2"/>
      <c r="C24" s="2"/>
      <c r="D24" s="2"/>
      <c r="E24" s="2"/>
      <c r="F24" s="2" t="str">
        <f t="shared" si="7"/>
        <v/>
      </c>
      <c r="G24" s="2" t="str">
        <f t="shared" si="8"/>
        <v/>
      </c>
      <c r="I24" t="str">
        <f t="shared" si="9"/>
        <v>2016/06/01</v>
      </c>
      <c r="J24">
        <f>IF(I24="","",SUMIF(A21:A32,I24,F21:F32))</f>
        <v>0</v>
      </c>
      <c r="K24">
        <f>IF(I24="","",SUMIF(A21:A32,I24,G21:G32))</f>
        <v>0</v>
      </c>
    </row>
    <row r="25" spans="1:11" x14ac:dyDescent="0.5">
      <c r="B25" s="2"/>
      <c r="C25" s="2"/>
      <c r="D25" s="2"/>
      <c r="E25" s="2"/>
      <c r="F25" s="2" t="str">
        <f t="shared" si="7"/>
        <v/>
      </c>
      <c r="G25" s="2" t="str">
        <f t="shared" si="8"/>
        <v/>
      </c>
      <c r="I25" t="str">
        <f t="shared" si="9"/>
        <v>2016/07/01</v>
      </c>
      <c r="J25">
        <f>IF(I25="","",SUMIF(A21:A32,I25,F21:F32))</f>
        <v>0</v>
      </c>
      <c r="K25">
        <f>IF(I25="","",SUMIF(A21:A32,I25,G21:G32))</f>
        <v>0</v>
      </c>
    </row>
    <row r="26" spans="1:11" x14ac:dyDescent="0.5">
      <c r="B26" s="2"/>
      <c r="C26" s="2"/>
      <c r="D26" s="2"/>
      <c r="E26" s="2"/>
      <c r="F26" s="2" t="str">
        <f t="shared" si="7"/>
        <v/>
      </c>
      <c r="G26" s="2" t="str">
        <f t="shared" si="8"/>
        <v/>
      </c>
      <c r="I26" t="str">
        <f t="shared" si="9"/>
        <v>2016/08/01</v>
      </c>
      <c r="J26">
        <f>IF(I26="","",SUMIF(A21:A32,I26,F21:F32))</f>
        <v>0</v>
      </c>
      <c r="K26">
        <f>IF(I26="","",SUMIF(A21:A32,I26,G21:G32))</f>
        <v>0</v>
      </c>
    </row>
    <row r="27" spans="1:11" x14ac:dyDescent="0.5">
      <c r="B27" s="2"/>
      <c r="C27" s="2"/>
      <c r="D27" s="2"/>
      <c r="E27" s="2"/>
      <c r="F27" s="2" t="str">
        <f t="shared" si="7"/>
        <v/>
      </c>
      <c r="G27" s="2" t="str">
        <f t="shared" si="8"/>
        <v/>
      </c>
      <c r="I27" t="str">
        <f t="shared" si="9"/>
        <v>2016/09/01</v>
      </c>
      <c r="J27">
        <f>IF(I27="","",SUMIF(A21:A32,I27,F21:F32))</f>
        <v>0</v>
      </c>
      <c r="K27">
        <f>IF(I27="","",SUMIF(A21:A32,I27,G21:G32))</f>
        <v>0</v>
      </c>
    </row>
    <row r="28" spans="1:11" x14ac:dyDescent="0.5">
      <c r="B28" s="2"/>
      <c r="C28" s="2"/>
      <c r="D28" s="2"/>
      <c r="E28" s="2"/>
      <c r="F28" s="2" t="str">
        <f t="shared" si="7"/>
        <v/>
      </c>
      <c r="G28" s="2" t="str">
        <f t="shared" si="8"/>
        <v/>
      </c>
      <c r="I28" t="str">
        <f t="shared" si="9"/>
        <v>2016/10/01</v>
      </c>
      <c r="J28">
        <f>IF(I28="","",SUMIF(A21:A32,I28,F21:F32))</f>
        <v>0</v>
      </c>
      <c r="K28">
        <f>IF(I28="","",SUMIF(A21:A32,I28,G21:G32))</f>
        <v>0</v>
      </c>
    </row>
    <row r="29" spans="1:11" x14ac:dyDescent="0.5">
      <c r="B29" s="2"/>
      <c r="C29" s="2"/>
      <c r="D29" s="2"/>
      <c r="E29" s="2"/>
      <c r="F29" s="2" t="str">
        <f t="shared" si="7"/>
        <v/>
      </c>
      <c r="G29" s="2" t="str">
        <f t="shared" si="8"/>
        <v/>
      </c>
      <c r="I29" t="str">
        <f t="shared" si="9"/>
        <v>2016/11/01</v>
      </c>
      <c r="J29">
        <f>IF(I29="","",SUMIF(A21:A32,I29,F21:F32))</f>
        <v>0</v>
      </c>
      <c r="K29">
        <f>IF(I29="","",SUMIF(A21:A32,I29,G21:G32))</f>
        <v>0</v>
      </c>
    </row>
    <row r="30" spans="1:11" x14ac:dyDescent="0.5">
      <c r="B30" s="2"/>
      <c r="C30" s="2"/>
      <c r="D30" s="2"/>
      <c r="E30" s="2"/>
      <c r="F30" s="2" t="str">
        <f t="shared" si="7"/>
        <v/>
      </c>
      <c r="G30" s="2" t="str">
        <f t="shared" si="8"/>
        <v/>
      </c>
      <c r="I30" t="str">
        <f t="shared" si="9"/>
        <v>2016/12/01</v>
      </c>
      <c r="J30">
        <f>IF(I30="","",SUMIF(A21:A32,I30,F21:F32))</f>
        <v>0</v>
      </c>
      <c r="K30">
        <f>IF(I30="","",SUMIF(A21:A32,I30,G21:G32))</f>
        <v>0</v>
      </c>
    </row>
    <row r="31" spans="1:11" x14ac:dyDescent="0.5">
      <c r="B31" s="2"/>
      <c r="C31" s="2"/>
      <c r="D31" s="2"/>
      <c r="E31" s="2"/>
      <c r="F31" s="2" t="str">
        <f t="shared" si="7"/>
        <v/>
      </c>
      <c r="G31" s="2" t="str">
        <f t="shared" si="8"/>
        <v/>
      </c>
      <c r="I31" t="str">
        <f t="shared" si="9"/>
        <v>2017/01/01</v>
      </c>
      <c r="J31">
        <f>IF(I31="","",SUMIF(A21:A32,I31,F21:F32))</f>
        <v>0</v>
      </c>
      <c r="K31">
        <f>IF(I31="","",SUMIF(A21:A32,I31,G21:G32))</f>
        <v>0</v>
      </c>
    </row>
    <row r="32" spans="1:11" x14ac:dyDescent="0.5">
      <c r="B32" s="2"/>
      <c r="C32" s="2"/>
      <c r="D32" s="2"/>
      <c r="E32" s="2"/>
      <c r="F32" s="2" t="str">
        <f t="shared" si="7"/>
        <v/>
      </c>
      <c r="G32" s="2" t="str">
        <f t="shared" si="8"/>
        <v/>
      </c>
      <c r="I32" t="str">
        <f t="shared" si="9"/>
        <v>2017/02/01</v>
      </c>
      <c r="J32">
        <f>IF(I32="","",SUMIF(A21:A32,I32,F21:F32))</f>
        <v>0</v>
      </c>
      <c r="K32">
        <f>IF(I32="","",SUMIF(A21:A32,I32,G21:G32))</f>
        <v>0</v>
      </c>
    </row>
    <row r="33" spans="1:15" x14ac:dyDescent="0.5">
      <c r="A33" s="1"/>
      <c r="B33" s="4">
        <f t="shared" ref="B33:G33" si="10">SUM(B21:B32)</f>
        <v>0</v>
      </c>
      <c r="C33" s="5">
        <f t="shared" si="10"/>
        <v>0</v>
      </c>
      <c r="D33" s="5">
        <f t="shared" si="10"/>
        <v>0</v>
      </c>
      <c r="E33" s="5">
        <f t="shared" si="10"/>
        <v>0</v>
      </c>
      <c r="F33" s="5">
        <f t="shared" si="10"/>
        <v>0</v>
      </c>
      <c r="G33" s="6">
        <f t="shared" si="10"/>
        <v>0</v>
      </c>
      <c r="J33" s="75">
        <f>SUM(J21:J32)</f>
        <v>0</v>
      </c>
      <c r="K33" s="76">
        <f>SUM(K21:K32)</f>
        <v>0</v>
      </c>
    </row>
    <row r="34" spans="1:15" x14ac:dyDescent="0.5">
      <c r="A34" s="1"/>
      <c r="B34" s="1"/>
      <c r="C34" s="1"/>
      <c r="D34" s="1"/>
      <c r="E34" s="1"/>
      <c r="F34" s="1"/>
      <c r="G34" s="1"/>
    </row>
    <row r="35" spans="1:15" x14ac:dyDescent="0.5">
      <c r="A35" s="1" t="s">
        <v>363</v>
      </c>
      <c r="B35" s="1"/>
      <c r="C35" s="1"/>
      <c r="D35" s="1"/>
      <c r="E35" s="1"/>
      <c r="F35" s="1"/>
      <c r="G35" s="1"/>
      <c r="I35" s="1" t="s">
        <v>364</v>
      </c>
      <c r="J35" s="1"/>
      <c r="K35" s="1"/>
      <c r="L35" s="1"/>
      <c r="M35" s="1"/>
    </row>
    <row r="36" spans="1:15" x14ac:dyDescent="0.5">
      <c r="A36" s="1" t="s">
        <v>2</v>
      </c>
      <c r="B36" s="1" t="s">
        <v>351</v>
      </c>
      <c r="C36" s="1" t="s">
        <v>5</v>
      </c>
      <c r="D36" s="1"/>
      <c r="E36" s="1"/>
      <c r="F36" s="1"/>
      <c r="G36" s="1"/>
      <c r="I36" s="1" t="s">
        <v>2</v>
      </c>
      <c r="J36" s="1" t="s">
        <v>3</v>
      </c>
      <c r="K36" s="1" t="s">
        <v>356</v>
      </c>
      <c r="L36" s="1" t="s">
        <v>357</v>
      </c>
      <c r="M36" s="1" t="s">
        <v>9</v>
      </c>
      <c r="N36" t="s">
        <v>28</v>
      </c>
      <c r="O36" t="s">
        <v>29</v>
      </c>
    </row>
    <row r="37" spans="1:15" x14ac:dyDescent="0.5">
      <c r="B37" s="2"/>
      <c r="C37" s="2"/>
      <c r="I37" t="str">
        <f>IF(Bitter!A55=0,"",Bitter!A55)</f>
        <v>2015/03/01</v>
      </c>
      <c r="J37" s="2">
        <v>0</v>
      </c>
      <c r="K37" s="2">
        <f>IF(I37="","",SUMIF(A37:A48,I37,B37:B48) + SUMIF(A37:A48,I37,C37:C48))</f>
        <v>0</v>
      </c>
      <c r="L37" s="2">
        <f>IF(I37="","",SUMIF(A53:A64,I37,B53:B64) + SUMIF(A53:A64,I37,C53:C64))</f>
        <v>0</v>
      </c>
      <c r="M37" s="2"/>
      <c r="O37">
        <f t="shared" ref="O37:O48" si="11">IF(I37="","",SUM(J37+K37-L37+M37-N37))</f>
        <v>0</v>
      </c>
    </row>
    <row r="38" spans="1:15" x14ac:dyDescent="0.5">
      <c r="B38" s="2"/>
      <c r="C38" s="2"/>
      <c r="I38" t="str">
        <f>IF(Bitter!A56=0,"",Bitter!A56)</f>
        <v>2015/04/01</v>
      </c>
      <c r="J38" s="2">
        <f t="shared" ref="J38:J48" si="12">IF(I38="","",SUM(O37))</f>
        <v>0</v>
      </c>
      <c r="K38" s="2">
        <f>IF(I38="","",SUMIF(A37:A48,I38,B37:B48) + SUMIF(A37:A48,I38,C37:C48))</f>
        <v>0</v>
      </c>
      <c r="L38" s="2">
        <f>IF(I38="","",SUMIF(A53:A64,I38,B53:B64) + SUMIF(A53:A64,I38,C53:C64))</f>
        <v>0</v>
      </c>
      <c r="M38" s="2"/>
      <c r="O38">
        <f t="shared" si="11"/>
        <v>0</v>
      </c>
    </row>
    <row r="39" spans="1:15" x14ac:dyDescent="0.5">
      <c r="B39" s="2"/>
      <c r="C39" s="2"/>
      <c r="I39" t="str">
        <f>IF(Bitter!A57=0,"",Bitter!A57)</f>
        <v>2015/05/01</v>
      </c>
      <c r="J39" s="2">
        <f t="shared" si="12"/>
        <v>0</v>
      </c>
      <c r="K39" s="2">
        <f>IF(I39="","",SUMIF(A37:A48,I39,B37:B48) + SUMIF(A37:A48,I39,C37:C48))</f>
        <v>0</v>
      </c>
      <c r="L39" s="2">
        <f>IF(I39="","",SUMIF(A53:A64,I39,B53:B64) + SUMIF(A53:A64,I39,C53:C64))</f>
        <v>0</v>
      </c>
      <c r="M39" s="2"/>
      <c r="O39">
        <f t="shared" si="11"/>
        <v>0</v>
      </c>
    </row>
    <row r="40" spans="1:15" x14ac:dyDescent="0.5">
      <c r="B40" s="2"/>
      <c r="C40" s="2"/>
      <c r="I40" t="str">
        <f>IF(Bitter!A58=0,"",Bitter!A58)</f>
        <v>2015/06/01</v>
      </c>
      <c r="J40" s="2">
        <f t="shared" si="12"/>
        <v>0</v>
      </c>
      <c r="K40" s="2">
        <f>IF(I40="","",SUMIF(A37:A48,I40,B37:B48) + SUMIF(A37:A48,I40,C37:C48))</f>
        <v>0</v>
      </c>
      <c r="L40" s="2">
        <f>IF(I40="","",SUMIF(A53:A64,I40,B53:B64) + SUMIF(A53:A64,I40,C53:C64))</f>
        <v>0</v>
      </c>
      <c r="M40" s="2"/>
      <c r="O40">
        <f t="shared" si="11"/>
        <v>0</v>
      </c>
    </row>
    <row r="41" spans="1:15" x14ac:dyDescent="0.5">
      <c r="B41" s="2"/>
      <c r="C41" s="2"/>
      <c r="I41" t="str">
        <f>IF(Bitter!A59=0,"",Bitter!A59)</f>
        <v>2015/07/01</v>
      </c>
      <c r="J41" s="2">
        <f t="shared" si="12"/>
        <v>0</v>
      </c>
      <c r="K41" s="2">
        <f>IF(I41="","",SUMIF(A37:A48,I41,B37:B48) + SUMIF(A37:A48,I41,C37:C48))</f>
        <v>0</v>
      </c>
      <c r="L41" s="2">
        <f>IF(I41="","",SUMIF(A53:A64,I41,B53:B64) + SUMIF(A53:A64,I41,C53:C64))</f>
        <v>0</v>
      </c>
      <c r="M41" s="2"/>
      <c r="O41">
        <f t="shared" si="11"/>
        <v>0</v>
      </c>
    </row>
    <row r="42" spans="1:15" x14ac:dyDescent="0.5">
      <c r="B42" s="2"/>
      <c r="C42" s="2"/>
      <c r="I42" t="str">
        <f>IF(Bitter!A60=0,"",Bitter!A60)</f>
        <v>2015/08/01</v>
      </c>
      <c r="J42" s="2">
        <f t="shared" si="12"/>
        <v>0</v>
      </c>
      <c r="K42" s="2">
        <f>IF(I42="","",SUMIF(A37:A48,I42,B37:B48) + SUMIF(A37:A48,I42,C37:C48))</f>
        <v>0</v>
      </c>
      <c r="L42" s="2">
        <f>IF(I42="","",SUMIF(A53:A64,I42,B53:B64) + SUMIF(A53:A64,I42,C53:C64))</f>
        <v>0</v>
      </c>
      <c r="M42" s="2"/>
      <c r="O42">
        <f t="shared" si="11"/>
        <v>0</v>
      </c>
    </row>
    <row r="43" spans="1:15" x14ac:dyDescent="0.5">
      <c r="B43" s="2"/>
      <c r="C43" s="2"/>
      <c r="I43" t="str">
        <f>IF(Bitter!A61=0,"",Bitter!A61)</f>
        <v>2015/09/01</v>
      </c>
      <c r="J43" s="2">
        <f t="shared" si="12"/>
        <v>0</v>
      </c>
      <c r="K43" s="2">
        <f>IF(I43="","",SUMIF(A37:A48,I43,B37:B48) + SUMIF(A37:A48,I43,C37:C48))</f>
        <v>0</v>
      </c>
      <c r="L43" s="2">
        <f>IF(I43="","",SUMIF(A53:A64,I43,B53:B64) + SUMIF(A53:A64,I43,C53:C64))</f>
        <v>0</v>
      </c>
      <c r="M43" s="2"/>
      <c r="O43">
        <f t="shared" si="11"/>
        <v>0</v>
      </c>
    </row>
    <row r="44" spans="1:15" x14ac:dyDescent="0.5">
      <c r="B44" s="2"/>
      <c r="C44" s="2"/>
      <c r="I44" t="str">
        <f>IF(Bitter!A62=0,"",Bitter!A62)</f>
        <v>2015/10/01</v>
      </c>
      <c r="J44" s="2">
        <f t="shared" si="12"/>
        <v>0</v>
      </c>
      <c r="K44" s="2">
        <f>IF(I44="","",SUMIF(A37:A48,I44,B37:B48) + SUMIF(A37:A48,I44,C37:C48))</f>
        <v>0</v>
      </c>
      <c r="L44" s="2">
        <f>IF(I44="","",SUMIF(A53:A64,I44,B53:B64) + SUMIF(A53:A64,I44,C53:C64))</f>
        <v>0</v>
      </c>
      <c r="M44" s="2"/>
      <c r="O44">
        <f t="shared" si="11"/>
        <v>0</v>
      </c>
    </row>
    <row r="45" spans="1:15" x14ac:dyDescent="0.5">
      <c r="B45" s="2"/>
      <c r="C45" s="2"/>
      <c r="I45" t="str">
        <f>IF(Bitter!A63=0,"",Bitter!A63)</f>
        <v>2015/11/01</v>
      </c>
      <c r="J45" s="2">
        <f t="shared" si="12"/>
        <v>0</v>
      </c>
      <c r="K45" s="2">
        <f>IF(I45="","",SUMIF(A37:A48,I45,B37:B48) + SUMIF(A37:A48,I45,C37:C48))</f>
        <v>0</v>
      </c>
      <c r="L45" s="2">
        <f>IF(I45="","",SUMIF(A53:A64,I45,B53:B64) + SUMIF(A53:A64,I45,C53:C64))</f>
        <v>0</v>
      </c>
      <c r="M45" s="2"/>
      <c r="O45">
        <f t="shared" si="11"/>
        <v>0</v>
      </c>
    </row>
    <row r="46" spans="1:15" x14ac:dyDescent="0.5">
      <c r="B46" s="2"/>
      <c r="C46" s="2"/>
      <c r="I46" t="str">
        <f>IF(Bitter!A64=0,"",Bitter!A64)</f>
        <v>2015/12/01</v>
      </c>
      <c r="J46" s="2">
        <f t="shared" si="12"/>
        <v>0</v>
      </c>
      <c r="K46" s="2">
        <f>IF(I46="","",SUMIF(A37:A48,I46,B37:B48) + SUMIF(A37:A48,I46,C37:C48))</f>
        <v>0</v>
      </c>
      <c r="L46" s="2">
        <f>IF(I46="","",SUMIF(A53:A64,I46,B53:B64) + SUMIF(A53:A64,I46,C53:C64))</f>
        <v>0</v>
      </c>
      <c r="M46" s="2"/>
      <c r="O46">
        <f t="shared" si="11"/>
        <v>0</v>
      </c>
    </row>
    <row r="47" spans="1:15" x14ac:dyDescent="0.5">
      <c r="B47" s="2"/>
      <c r="C47" s="2"/>
      <c r="I47" t="str">
        <f>IF(Bitter!A65=0,"",Bitter!A65)</f>
        <v>2016/01/01</v>
      </c>
      <c r="J47" s="2">
        <f t="shared" si="12"/>
        <v>0</v>
      </c>
      <c r="K47" s="2">
        <f>IF(I47="","",SUMIF(A37:A48,I47,B37:B48) + SUMIF(A37:A48,I47,C37:C48))</f>
        <v>0</v>
      </c>
      <c r="L47" s="2">
        <f>IF(I47="","",SUMIF(A53:A64,I47,B53:B64) + SUMIF(A53:A64,I47,C53:C64))</f>
        <v>0</v>
      </c>
      <c r="M47" s="2"/>
      <c r="O47">
        <f t="shared" si="11"/>
        <v>0</v>
      </c>
    </row>
    <row r="48" spans="1:15" x14ac:dyDescent="0.5">
      <c r="B48" s="2"/>
      <c r="C48" s="2"/>
      <c r="I48" t="str">
        <f>IF(Bitter!A66=0,"",Bitter!A66)</f>
        <v>2016/02/01</v>
      </c>
      <c r="J48" s="2">
        <f t="shared" si="12"/>
        <v>0</v>
      </c>
      <c r="K48" s="2">
        <f>IF(I48="","",SUMIF(A37:A48,I48,B37:B48) + SUMIF(A37:A48,I48,C37:C48))</f>
        <v>0</v>
      </c>
      <c r="L48" s="2">
        <f>IF(I48="","",SUMIF(A53:A64,I48,B53:B64) + SUMIF(A53:A64,I48,C53:C64))</f>
        <v>0</v>
      </c>
      <c r="M48" s="2"/>
      <c r="O48">
        <f t="shared" si="11"/>
        <v>0</v>
      </c>
    </row>
    <row r="49" spans="1:4" x14ac:dyDescent="0.5">
      <c r="A49" s="1"/>
      <c r="B49" s="4">
        <f>SUM(B37:B48)</f>
        <v>0</v>
      </c>
      <c r="C49" s="6">
        <f>SUM(C37:C48)</f>
        <v>0</v>
      </c>
      <c r="D49" s="1"/>
    </row>
    <row r="50" spans="1:4" x14ac:dyDescent="0.5">
      <c r="A50" s="1"/>
      <c r="B50" s="3"/>
      <c r="C50" s="3"/>
      <c r="D50" s="1"/>
    </row>
    <row r="51" spans="1:4" x14ac:dyDescent="0.5">
      <c r="A51" s="1"/>
      <c r="B51" s="3"/>
      <c r="C51" s="3"/>
      <c r="D51" s="1"/>
    </row>
    <row r="52" spans="1:4" x14ac:dyDescent="0.5">
      <c r="A52" s="1" t="s">
        <v>2</v>
      </c>
      <c r="B52" s="3" t="s">
        <v>360</v>
      </c>
      <c r="C52" s="3" t="s">
        <v>19</v>
      </c>
      <c r="D52" s="1"/>
    </row>
    <row r="53" spans="1:4" x14ac:dyDescent="0.5">
      <c r="B53" s="2"/>
      <c r="C53" s="2"/>
    </row>
    <row r="54" spans="1:4" x14ac:dyDescent="0.5">
      <c r="B54" s="2"/>
      <c r="C54" s="2"/>
    </row>
    <row r="55" spans="1:4" x14ac:dyDescent="0.5">
      <c r="B55" s="2"/>
      <c r="C55" s="2"/>
    </row>
    <row r="56" spans="1:4" x14ac:dyDescent="0.5">
      <c r="B56" s="2"/>
      <c r="C56" s="2"/>
    </row>
    <row r="57" spans="1:4" x14ac:dyDescent="0.5">
      <c r="B57" s="2"/>
      <c r="C57" s="2"/>
    </row>
    <row r="58" spans="1:4" x14ac:dyDescent="0.5">
      <c r="B58" s="2"/>
      <c r="C58" s="2"/>
    </row>
    <row r="59" spans="1:4" x14ac:dyDescent="0.5">
      <c r="B59" s="2"/>
      <c r="C59" s="2"/>
    </row>
    <row r="60" spans="1:4" x14ac:dyDescent="0.5">
      <c r="B60" s="2"/>
      <c r="C60" s="2"/>
    </row>
    <row r="61" spans="1:4" x14ac:dyDescent="0.5">
      <c r="B61" s="2"/>
      <c r="C61" s="2"/>
    </row>
    <row r="62" spans="1:4" x14ac:dyDescent="0.5">
      <c r="B62" s="2"/>
      <c r="C62" s="2"/>
    </row>
    <row r="63" spans="1:4" x14ac:dyDescent="0.5">
      <c r="B63" s="2"/>
      <c r="C63" s="2"/>
    </row>
    <row r="64" spans="1:4" x14ac:dyDescent="0.5">
      <c r="B64" s="2"/>
      <c r="C64" s="2"/>
    </row>
    <row r="65" spans="1:3" x14ac:dyDescent="0.5">
      <c r="A65" s="1"/>
      <c r="B65" s="4">
        <f>SUM(B53:B64)</f>
        <v>0</v>
      </c>
      <c r="C65" s="6">
        <f>SUM(C53:C64)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6"/>
  <sheetViews>
    <sheetView zoomScale="55" workbookViewId="0">
      <selection activeCell="K36" sqref="K36"/>
    </sheetView>
  </sheetViews>
  <sheetFormatPr defaultRowHeight="28.2" x14ac:dyDescent="0.5"/>
  <cols>
    <col min="1" max="1" width="84.8203125" bestFit="1" customWidth="1"/>
    <col min="2" max="2" width="14" bestFit="1" customWidth="1"/>
    <col min="3" max="3" width="12.8203125" bestFit="1" customWidth="1"/>
    <col min="4" max="4" width="5.8203125" bestFit="1" customWidth="1"/>
    <col min="5" max="5" width="23.3515625" bestFit="1" customWidth="1"/>
    <col min="6" max="6" width="31.703125" bestFit="1" customWidth="1"/>
    <col min="7" max="8" width="9.29296875" bestFit="1" customWidth="1"/>
    <col min="9" max="9" width="11.703125" bestFit="1" customWidth="1"/>
    <col min="10" max="10" width="9.29296875" bestFit="1" customWidth="1"/>
    <col min="11" max="11" width="7" bestFit="1" customWidth="1"/>
  </cols>
  <sheetData>
    <row r="1" spans="1:12" x14ac:dyDescent="0.5">
      <c r="A1" s="1" t="s">
        <v>366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5">
      <c r="A2" s="1" t="s">
        <v>367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5">
      <c r="A4" s="1" t="s">
        <v>2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51</v>
      </c>
      <c r="L4" s="1"/>
    </row>
    <row r="5" spans="1:12" x14ac:dyDescent="0.5">
      <c r="A5" t="s">
        <v>34</v>
      </c>
      <c r="B5">
        <v>0</v>
      </c>
      <c r="C5">
        <v>0</v>
      </c>
      <c r="D5">
        <v>0</v>
      </c>
      <c r="E5">
        <f>0</f>
        <v>0</v>
      </c>
      <c r="F5">
        <f>0</f>
        <v>0</v>
      </c>
      <c r="G5">
        <f>0</f>
        <v>0</v>
      </c>
      <c r="H5">
        <f>0</f>
        <v>0</v>
      </c>
      <c r="I5">
        <f>0</f>
        <v>0</v>
      </c>
      <c r="J5">
        <f>0</f>
        <v>0</v>
      </c>
      <c r="K5" s="1">
        <f t="shared" ref="K5:K15" si="0">SUM(B5:J5)</f>
        <v>0</v>
      </c>
    </row>
    <row r="6" spans="1:12" x14ac:dyDescent="0.5">
      <c r="A6" t="s">
        <v>35</v>
      </c>
      <c r="B6">
        <v>23</v>
      </c>
      <c r="C6">
        <v>0</v>
      </c>
      <c r="D6">
        <v>0</v>
      </c>
      <c r="E6">
        <f>0</f>
        <v>0</v>
      </c>
      <c r="F6">
        <f>0</f>
        <v>0</v>
      </c>
      <c r="G6">
        <f>0</f>
        <v>0</v>
      </c>
      <c r="H6">
        <f>0</f>
        <v>0</v>
      </c>
      <c r="I6">
        <f>0</f>
        <v>0</v>
      </c>
      <c r="J6">
        <f>0</f>
        <v>0</v>
      </c>
      <c r="K6" s="1">
        <f t="shared" si="0"/>
        <v>23</v>
      </c>
    </row>
    <row r="7" spans="1:12" x14ac:dyDescent="0.5">
      <c r="A7" t="s">
        <v>36</v>
      </c>
      <c r="B7">
        <v>0</v>
      </c>
      <c r="C7">
        <v>0</v>
      </c>
      <c r="D7">
        <v>0</v>
      </c>
      <c r="E7">
        <f>0</f>
        <v>0</v>
      </c>
      <c r="F7">
        <f>0</f>
        <v>0</v>
      </c>
      <c r="G7">
        <f>0</f>
        <v>0</v>
      </c>
      <c r="H7">
        <f>0</f>
        <v>0</v>
      </c>
      <c r="I7">
        <f>0</f>
        <v>0</v>
      </c>
      <c r="J7">
        <f>0</f>
        <v>0</v>
      </c>
      <c r="K7" s="1">
        <f t="shared" si="0"/>
        <v>0</v>
      </c>
    </row>
    <row r="8" spans="1:12" x14ac:dyDescent="0.5">
      <c r="A8" t="s">
        <v>37</v>
      </c>
      <c r="B8">
        <v>108</v>
      </c>
      <c r="C8">
        <v>0</v>
      </c>
      <c r="D8">
        <v>0</v>
      </c>
      <c r="E8">
        <f>0</f>
        <v>0</v>
      </c>
      <c r="F8">
        <f>0</f>
        <v>0</v>
      </c>
      <c r="G8">
        <f>0</f>
        <v>0</v>
      </c>
      <c r="H8">
        <f>0</f>
        <v>0</v>
      </c>
      <c r="I8">
        <f>0</f>
        <v>0</v>
      </c>
      <c r="J8">
        <f>0</f>
        <v>0</v>
      </c>
      <c r="K8" s="1">
        <f t="shared" si="0"/>
        <v>108</v>
      </c>
    </row>
    <row r="9" spans="1:12" x14ac:dyDescent="0.5">
      <c r="A9" t="s">
        <v>38</v>
      </c>
      <c r="B9">
        <v>60</v>
      </c>
      <c r="C9">
        <v>0</v>
      </c>
      <c r="D9">
        <v>0</v>
      </c>
      <c r="E9">
        <f>0</f>
        <v>0</v>
      </c>
      <c r="F9">
        <f>0</f>
        <v>0</v>
      </c>
      <c r="G9">
        <f>0</f>
        <v>0</v>
      </c>
      <c r="H9">
        <f>0</f>
        <v>0</v>
      </c>
      <c r="I9">
        <f>0</f>
        <v>0</v>
      </c>
      <c r="J9">
        <f>0</f>
        <v>0</v>
      </c>
      <c r="K9" s="1">
        <f t="shared" si="0"/>
        <v>60</v>
      </c>
    </row>
    <row r="10" spans="1:12" x14ac:dyDescent="0.5">
      <c r="A10" t="s">
        <v>39</v>
      </c>
      <c r="B10">
        <v>77</v>
      </c>
      <c r="C10">
        <v>0</v>
      </c>
      <c r="D10">
        <v>0</v>
      </c>
      <c r="E10">
        <f>0</f>
        <v>0</v>
      </c>
      <c r="F10">
        <f>0</f>
        <v>0</v>
      </c>
      <c r="G10">
        <f>0</f>
        <v>0</v>
      </c>
      <c r="H10">
        <f>0</f>
        <v>0</v>
      </c>
      <c r="I10">
        <f>0</f>
        <v>0</v>
      </c>
      <c r="J10">
        <f>0</f>
        <v>0</v>
      </c>
      <c r="K10" s="1">
        <f t="shared" si="0"/>
        <v>77</v>
      </c>
    </row>
    <row r="11" spans="1:12" x14ac:dyDescent="0.5">
      <c r="A11" t="s">
        <v>40</v>
      </c>
      <c r="B11">
        <v>135</v>
      </c>
      <c r="C11">
        <v>0</v>
      </c>
      <c r="D11">
        <v>0</v>
      </c>
      <c r="E11">
        <f>0</f>
        <v>0</v>
      </c>
      <c r="F11">
        <f>0</f>
        <v>0</v>
      </c>
      <c r="G11">
        <f>0</f>
        <v>0</v>
      </c>
      <c r="H11">
        <f>0</f>
        <v>0</v>
      </c>
      <c r="I11">
        <f>0</f>
        <v>0</v>
      </c>
      <c r="J11">
        <f>0</f>
        <v>0</v>
      </c>
      <c r="K11" s="1">
        <f t="shared" si="0"/>
        <v>135</v>
      </c>
    </row>
    <row r="12" spans="1:12" x14ac:dyDescent="0.5">
      <c r="A12" t="s">
        <v>41</v>
      </c>
      <c r="B12">
        <v>335</v>
      </c>
      <c r="C12">
        <v>0</v>
      </c>
      <c r="D12">
        <v>0</v>
      </c>
      <c r="E12">
        <f>0</f>
        <v>0</v>
      </c>
      <c r="F12">
        <f>0</f>
        <v>0</v>
      </c>
      <c r="G12">
        <f>0</f>
        <v>0</v>
      </c>
      <c r="H12">
        <f>0</f>
        <v>0</v>
      </c>
      <c r="I12">
        <f>0</f>
        <v>0</v>
      </c>
      <c r="J12">
        <f>0</f>
        <v>0</v>
      </c>
      <c r="K12" s="1">
        <f t="shared" si="0"/>
        <v>335</v>
      </c>
    </row>
    <row r="13" spans="1:12" x14ac:dyDescent="0.5">
      <c r="A13" t="s">
        <v>42</v>
      </c>
      <c r="B13">
        <v>572</v>
      </c>
      <c r="C13">
        <v>0</v>
      </c>
      <c r="D13">
        <v>0</v>
      </c>
      <c r="E13">
        <f>0</f>
        <v>0</v>
      </c>
      <c r="F13">
        <f>0</f>
        <v>0</v>
      </c>
      <c r="G13">
        <f>0</f>
        <v>0</v>
      </c>
      <c r="H13">
        <f>0</f>
        <v>0</v>
      </c>
      <c r="I13">
        <f>0</f>
        <v>0</v>
      </c>
      <c r="J13">
        <f>0</f>
        <v>0</v>
      </c>
      <c r="K13" s="1">
        <f t="shared" si="0"/>
        <v>572</v>
      </c>
    </row>
    <row r="14" spans="1:12" x14ac:dyDescent="0.5">
      <c r="A14" t="s">
        <v>43</v>
      </c>
      <c r="B14">
        <v>353</v>
      </c>
      <c r="C14">
        <v>34</v>
      </c>
      <c r="D14">
        <v>0</v>
      </c>
      <c r="E14">
        <f>0</f>
        <v>0</v>
      </c>
      <c r="F14">
        <f>0</f>
        <v>0</v>
      </c>
      <c r="G14">
        <f>0</f>
        <v>0</v>
      </c>
      <c r="H14">
        <f>0</f>
        <v>0</v>
      </c>
      <c r="I14">
        <f>0</f>
        <v>0</v>
      </c>
      <c r="J14">
        <f>0</f>
        <v>0</v>
      </c>
      <c r="K14" s="1">
        <f t="shared" si="0"/>
        <v>387</v>
      </c>
    </row>
    <row r="15" spans="1:12" x14ac:dyDescent="0.5">
      <c r="A15" t="s">
        <v>44</v>
      </c>
      <c r="B15">
        <v>263</v>
      </c>
      <c r="C15">
        <v>65</v>
      </c>
      <c r="D15">
        <v>0</v>
      </c>
      <c r="E15">
        <f>0</f>
        <v>0</v>
      </c>
      <c r="F15">
        <f>0</f>
        <v>0</v>
      </c>
      <c r="G15">
        <f>0</f>
        <v>0</v>
      </c>
      <c r="H15">
        <f>0</f>
        <v>0</v>
      </c>
      <c r="I15">
        <f>0</f>
        <v>0</v>
      </c>
      <c r="J15">
        <f>0</f>
        <v>0</v>
      </c>
      <c r="K15" s="1">
        <f t="shared" si="0"/>
        <v>328</v>
      </c>
    </row>
    <row r="16" spans="1:12" x14ac:dyDescent="0.5">
      <c r="A16" t="s">
        <v>45</v>
      </c>
      <c r="B16">
        <v>82</v>
      </c>
      <c r="C16">
        <v>34</v>
      </c>
      <c r="D16">
        <v>0</v>
      </c>
      <c r="E16">
        <f>0</f>
        <v>0</v>
      </c>
      <c r="F16">
        <f>0</f>
        <v>0</v>
      </c>
      <c r="G16">
        <f>0</f>
        <v>0</v>
      </c>
      <c r="H16">
        <f>0</f>
        <v>0</v>
      </c>
      <c r="I16">
        <f>0</f>
        <v>0</v>
      </c>
      <c r="J16">
        <f>0</f>
        <v>0</v>
      </c>
      <c r="K16" s="1">
        <f>SUM(B15:J16)</f>
        <v>444</v>
      </c>
    </row>
    <row r="17" spans="1:12" x14ac:dyDescent="0.5">
      <c r="B17" s="73">
        <f t="shared" ref="B17:J17" si="1">SUM(B5:B16)</f>
        <v>2008</v>
      </c>
      <c r="C17" s="77">
        <f t="shared" si="1"/>
        <v>133</v>
      </c>
      <c r="D17" s="77">
        <f t="shared" si="1"/>
        <v>0</v>
      </c>
      <c r="E17" s="77">
        <f t="shared" si="1"/>
        <v>0</v>
      </c>
      <c r="F17" s="77">
        <f t="shared" si="1"/>
        <v>0</v>
      </c>
      <c r="G17" s="77">
        <f t="shared" si="1"/>
        <v>0</v>
      </c>
      <c r="H17" s="77">
        <f t="shared" si="1"/>
        <v>0</v>
      </c>
      <c r="I17" s="77">
        <f t="shared" si="1"/>
        <v>0</v>
      </c>
      <c r="J17" s="77">
        <f t="shared" si="1"/>
        <v>0</v>
      </c>
      <c r="K17" s="74">
        <f>SUM(B16:J17)</f>
        <v>2257</v>
      </c>
    </row>
    <row r="20" spans="1:12" x14ac:dyDescent="0.5">
      <c r="A20" s="1" t="s">
        <v>366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5">
      <c r="A21" s="1" t="s">
        <v>368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5">
      <c r="A23" s="1" t="s">
        <v>2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18</v>
      </c>
      <c r="K23" s="1" t="s">
        <v>51</v>
      </c>
      <c r="L23" s="1"/>
    </row>
    <row r="24" spans="1:12" x14ac:dyDescent="0.5">
      <c r="A24" t="s">
        <v>56</v>
      </c>
      <c r="B24">
        <v>0</v>
      </c>
      <c r="C24">
        <v>0</v>
      </c>
      <c r="D24">
        <v>0</v>
      </c>
      <c r="E24">
        <f>0</f>
        <v>0</v>
      </c>
      <c r="F24">
        <f>0</f>
        <v>0</v>
      </c>
      <c r="G24">
        <f>0</f>
        <v>0</v>
      </c>
      <c r="H24">
        <f>0</f>
        <v>0</v>
      </c>
      <c r="I24">
        <f>0</f>
        <v>0</v>
      </c>
      <c r="J24">
        <f>0</f>
        <v>0</v>
      </c>
      <c r="K24" s="1">
        <f t="shared" ref="K24:K36" si="2">SUM(B24:J24)</f>
        <v>0</v>
      </c>
    </row>
    <row r="25" spans="1:12" x14ac:dyDescent="0.5">
      <c r="A25" t="s">
        <v>57</v>
      </c>
      <c r="B25">
        <v>0</v>
      </c>
      <c r="C25">
        <v>0</v>
      </c>
      <c r="D25">
        <v>0</v>
      </c>
      <c r="E25">
        <f>0</f>
        <v>0</v>
      </c>
      <c r="F25">
        <f>0</f>
        <v>0</v>
      </c>
      <c r="G25">
        <f>0</f>
        <v>0</v>
      </c>
      <c r="H25">
        <f>0</f>
        <v>0</v>
      </c>
      <c r="I25">
        <f>0</f>
        <v>0</v>
      </c>
      <c r="J25">
        <f>0</f>
        <v>0</v>
      </c>
      <c r="K25" s="1">
        <f t="shared" si="2"/>
        <v>0</v>
      </c>
    </row>
    <row r="26" spans="1:12" x14ac:dyDescent="0.5">
      <c r="A26" t="s">
        <v>58</v>
      </c>
      <c r="B26">
        <v>0</v>
      </c>
      <c r="C26">
        <v>0</v>
      </c>
      <c r="D26">
        <v>0</v>
      </c>
      <c r="E26">
        <f>0</f>
        <v>0</v>
      </c>
      <c r="F26">
        <f>0</f>
        <v>0</v>
      </c>
      <c r="G26">
        <f>0</f>
        <v>0</v>
      </c>
      <c r="H26">
        <f>0</f>
        <v>0</v>
      </c>
      <c r="I26">
        <f>0</f>
        <v>0</v>
      </c>
      <c r="J26">
        <f>0</f>
        <v>0</v>
      </c>
      <c r="K26" s="1">
        <f t="shared" si="2"/>
        <v>0</v>
      </c>
    </row>
    <row r="27" spans="1:12" x14ac:dyDescent="0.5">
      <c r="A27" t="s">
        <v>59</v>
      </c>
      <c r="B27">
        <v>0</v>
      </c>
      <c r="C27">
        <v>0</v>
      </c>
      <c r="D27">
        <v>0</v>
      </c>
      <c r="E27">
        <f>0</f>
        <v>0</v>
      </c>
      <c r="F27">
        <f>0</f>
        <v>0</v>
      </c>
      <c r="G27">
        <f>0</f>
        <v>0</v>
      </c>
      <c r="H27">
        <f>0</f>
        <v>0</v>
      </c>
      <c r="I27">
        <f>0</f>
        <v>0</v>
      </c>
      <c r="J27">
        <f>0</f>
        <v>0</v>
      </c>
      <c r="K27" s="1">
        <f t="shared" si="2"/>
        <v>0</v>
      </c>
    </row>
    <row r="28" spans="1:12" x14ac:dyDescent="0.5">
      <c r="A28" t="s">
        <v>60</v>
      </c>
      <c r="B28">
        <v>0</v>
      </c>
      <c r="C28">
        <v>0</v>
      </c>
      <c r="D28">
        <v>0</v>
      </c>
      <c r="E28">
        <f>0</f>
        <v>0</v>
      </c>
      <c r="F28">
        <f>0</f>
        <v>0</v>
      </c>
      <c r="G28">
        <f>0</f>
        <v>0</v>
      </c>
      <c r="H28">
        <f>0</f>
        <v>0</v>
      </c>
      <c r="I28">
        <f>0</f>
        <v>0</v>
      </c>
      <c r="J28">
        <f>0</f>
        <v>0</v>
      </c>
      <c r="K28" s="1">
        <f t="shared" si="2"/>
        <v>0</v>
      </c>
    </row>
    <row r="29" spans="1:12" x14ac:dyDescent="0.5">
      <c r="A29" t="s">
        <v>61</v>
      </c>
      <c r="B29">
        <v>0</v>
      </c>
      <c r="C29">
        <v>0</v>
      </c>
      <c r="D29">
        <v>0</v>
      </c>
      <c r="E29">
        <f>0</f>
        <v>0</v>
      </c>
      <c r="F29">
        <f>0</f>
        <v>0</v>
      </c>
      <c r="G29">
        <f>0</f>
        <v>0</v>
      </c>
      <c r="H29">
        <f>0</f>
        <v>0</v>
      </c>
      <c r="I29">
        <f>0</f>
        <v>0</v>
      </c>
      <c r="J29">
        <f>0</f>
        <v>0</v>
      </c>
      <c r="K29" s="1">
        <f t="shared" si="2"/>
        <v>0</v>
      </c>
    </row>
    <row r="30" spans="1:12" x14ac:dyDescent="0.5">
      <c r="A30" t="s">
        <v>62</v>
      </c>
      <c r="B30">
        <v>0</v>
      </c>
      <c r="C30">
        <v>0</v>
      </c>
      <c r="D30">
        <v>0</v>
      </c>
      <c r="E30">
        <f>0</f>
        <v>0</v>
      </c>
      <c r="F30">
        <f>0</f>
        <v>0</v>
      </c>
      <c r="G30">
        <f>0</f>
        <v>0</v>
      </c>
      <c r="H30">
        <f>0</f>
        <v>0</v>
      </c>
      <c r="I30">
        <f>0</f>
        <v>0</v>
      </c>
      <c r="J30">
        <f>0</f>
        <v>0</v>
      </c>
      <c r="K30" s="1">
        <f t="shared" si="2"/>
        <v>0</v>
      </c>
    </row>
    <row r="31" spans="1:12" x14ac:dyDescent="0.5">
      <c r="A31" t="s">
        <v>63</v>
      </c>
      <c r="B31">
        <v>0</v>
      </c>
      <c r="C31">
        <v>0</v>
      </c>
      <c r="D31">
        <v>0</v>
      </c>
      <c r="E31">
        <f>0</f>
        <v>0</v>
      </c>
      <c r="F31">
        <f>0</f>
        <v>0</v>
      </c>
      <c r="G31">
        <f>0</f>
        <v>0</v>
      </c>
      <c r="H31">
        <f>0</f>
        <v>0</v>
      </c>
      <c r="I31">
        <f>0</f>
        <v>0</v>
      </c>
      <c r="J31">
        <f>0</f>
        <v>0</v>
      </c>
      <c r="K31" s="1">
        <f t="shared" si="2"/>
        <v>0</v>
      </c>
    </row>
    <row r="32" spans="1:12" x14ac:dyDescent="0.5">
      <c r="A32" t="s">
        <v>64</v>
      </c>
      <c r="B32">
        <v>0</v>
      </c>
      <c r="C32">
        <v>0</v>
      </c>
      <c r="D32">
        <v>0</v>
      </c>
      <c r="E32">
        <f>0</f>
        <v>0</v>
      </c>
      <c r="F32">
        <f>0</f>
        <v>0</v>
      </c>
      <c r="G32">
        <f>0</f>
        <v>0</v>
      </c>
      <c r="H32">
        <f>0</f>
        <v>0</v>
      </c>
      <c r="I32">
        <f>0</f>
        <v>0</v>
      </c>
      <c r="J32">
        <f>0</f>
        <v>0</v>
      </c>
      <c r="K32" s="1">
        <f t="shared" si="2"/>
        <v>0</v>
      </c>
    </row>
    <row r="33" spans="1:11" x14ac:dyDescent="0.5">
      <c r="A33" t="s">
        <v>65</v>
      </c>
      <c r="B33">
        <v>0</v>
      </c>
      <c r="C33">
        <v>0</v>
      </c>
      <c r="D33">
        <v>0</v>
      </c>
      <c r="E33">
        <f>0</f>
        <v>0</v>
      </c>
      <c r="F33">
        <f>0</f>
        <v>0</v>
      </c>
      <c r="G33">
        <f>0</f>
        <v>0</v>
      </c>
      <c r="H33">
        <f>0</f>
        <v>0</v>
      </c>
      <c r="I33">
        <f>0</f>
        <v>0</v>
      </c>
      <c r="J33">
        <f>0</f>
        <v>0</v>
      </c>
      <c r="K33" s="1">
        <f t="shared" si="2"/>
        <v>0</v>
      </c>
    </row>
    <row r="34" spans="1:11" x14ac:dyDescent="0.5">
      <c r="A34" t="s">
        <v>66</v>
      </c>
      <c r="B34">
        <v>0</v>
      </c>
      <c r="C34">
        <v>0</v>
      </c>
      <c r="D34">
        <v>0</v>
      </c>
      <c r="E34">
        <f>0</f>
        <v>0</v>
      </c>
      <c r="F34">
        <f>0</f>
        <v>0</v>
      </c>
      <c r="G34">
        <f>0</f>
        <v>0</v>
      </c>
      <c r="H34">
        <f>0</f>
        <v>0</v>
      </c>
      <c r="I34">
        <f>0</f>
        <v>0</v>
      </c>
      <c r="J34">
        <f>0</f>
        <v>0</v>
      </c>
      <c r="K34" s="1">
        <f t="shared" si="2"/>
        <v>0</v>
      </c>
    </row>
    <row r="35" spans="1:11" x14ac:dyDescent="0.5">
      <c r="A35" t="s">
        <v>67</v>
      </c>
      <c r="B35">
        <v>0</v>
      </c>
      <c r="C35">
        <v>0</v>
      </c>
      <c r="D35">
        <v>0</v>
      </c>
      <c r="E35">
        <f>0</f>
        <v>0</v>
      </c>
      <c r="F35">
        <f>0</f>
        <v>0</v>
      </c>
      <c r="G35">
        <f>0</f>
        <v>0</v>
      </c>
      <c r="H35">
        <f>0</f>
        <v>0</v>
      </c>
      <c r="I35">
        <f>0</f>
        <v>0</v>
      </c>
      <c r="J35">
        <f>0</f>
        <v>0</v>
      </c>
      <c r="K35" s="1">
        <f t="shared" si="2"/>
        <v>0</v>
      </c>
    </row>
    <row r="36" spans="1:11" x14ac:dyDescent="0.5">
      <c r="B36" s="73">
        <f t="shared" ref="B36:J36" si="3">SUM(B24:B35)</f>
        <v>0</v>
      </c>
      <c r="C36" s="77">
        <f t="shared" si="3"/>
        <v>0</v>
      </c>
      <c r="D36" s="77">
        <f t="shared" si="3"/>
        <v>0</v>
      </c>
      <c r="E36" s="77">
        <f t="shared" si="3"/>
        <v>0</v>
      </c>
      <c r="F36" s="77">
        <f t="shared" si="3"/>
        <v>0</v>
      </c>
      <c r="G36" s="77">
        <f t="shared" si="3"/>
        <v>0</v>
      </c>
      <c r="H36" s="77">
        <f t="shared" si="3"/>
        <v>0</v>
      </c>
      <c r="I36" s="77">
        <f t="shared" si="3"/>
        <v>0</v>
      </c>
      <c r="J36" s="77">
        <f t="shared" si="3"/>
        <v>0</v>
      </c>
      <c r="K36" s="74">
        <f t="shared" si="2"/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Sweet</vt:lpstr>
      <vt:lpstr>Bitter</vt:lpstr>
      <vt:lpstr>Langstaat</vt:lpstr>
      <vt:lpstr>AFR_Kort</vt:lpstr>
      <vt:lpstr>ZULU_Kort</vt:lpstr>
      <vt:lpstr>TSWANA_Kort</vt:lpstr>
      <vt:lpstr>DeurvoerSweet</vt:lpstr>
      <vt:lpstr>DeurvoerBitter</vt:lpstr>
      <vt:lpstr>ProdExpSweet</vt:lpstr>
      <vt:lpstr>ProdExpBitter</vt:lpstr>
      <vt:lpstr>SMB91Summary</vt:lpstr>
      <vt:lpstr>S&amp;D Langstaat</vt:lpstr>
      <vt:lpstr>Langstaat_NO_PROTECTION</vt:lpstr>
      <vt:lpstr>AFR_Kort_NOProtect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Lynette Steyn</cp:lastModifiedBy>
  <cp:lastPrinted>2018-01-29T08:23:41Z</cp:lastPrinted>
  <dcterms:created xsi:type="dcterms:W3CDTF">2018-01-25T09:36:06Z</dcterms:created>
  <dcterms:modified xsi:type="dcterms:W3CDTF">2026-02-09T10:47:47Z</dcterms:modified>
</cp:coreProperties>
</file>