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<sst xmlns="http://schemas.openxmlformats.org/spreadsheetml/2006/main" count="226" uniqueCount="122">
  <si>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</si>
  <si>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</si>
  <si>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</si>
  <si>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</si>
  <si>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</si>
  <si>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</si>
  <si>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</si>
  <si>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</si>
  <si>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</si>
  <si>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</si>
  <si>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</si>
  <si>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</si>
  <si>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</si>
  <si>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</si>
  <si>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</si>
  <si>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</si>
  <si>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</si>
  <si>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</si>
  <si>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</si>
  <si>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</si>
  <si>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</si>
  <si>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</si>
  <si>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</si>
  <si>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</si>
  <si>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</si>
  <si>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</si>
  <si>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</si>
  <si>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</si>
  <si>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</si>
  <si>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</si>
  <si>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</si>
  <si>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</si>
  <si>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</si>
  <si>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</si>
  <si>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</si>
  <si>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</si>
  <si>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</si>
  <si>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</si>
  <si>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</si>
  <si>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</si>
  <si>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</si>
  <si>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</si>
  <si>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</si>
  <si>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</si>
  <si>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</si>
  <si>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</si>
  <si>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</si>
  <si>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</si>
  <si>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</si>
  <si>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</si>
  <si>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</si>
  <si>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</si>
  <si>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</si>
  <si>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</si>
  <si>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</si>
  <si>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</si>
  <si>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</si>
  <si>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</si>
  <si>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</si>
  <si>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</si>
  <si>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</si>
  <si>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</si>
  <si>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</si>
  <si>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</si>
  <si>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</si>
  <si>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</si>
  <si>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</si>
  <si>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</si>
  <si>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</si>
  <si>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</si>
  <si>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</si>
  <si>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</si>
  <si>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</si>
  <si>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</si>
  <si>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</si>
  <si>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</si>
  <si>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</si>
  <si>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</si>
  <si>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</si>
  <si>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</si>
  <si>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</si>
  <si>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</si>
  <si>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</si>
  <si>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</si>
  <si>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</si>
  <si>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</si>
  <si>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</si>
  <si>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</si>
  <si>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</si>
  <si>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</si>
  <si>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</si>
  <si>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</si>
  <si>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</si>
  <si>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</si>
  <si>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</si>
  <si>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</si>
  <si>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</si>
  <si>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</si>
  <si>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</si>
  <si>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</si>
  <si>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</si>
  <si>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Dec/Des 2015</t>
  </si>
  <si>
    <t>1 Dec/Des 2015</t>
  </si>
  <si>
    <t>31 Dec/Des 2015</t>
  </si>
  <si>
    <t>Also refer to general foot notes.</t>
  </si>
  <si>
    <t>SMD-022016</t>
  </si>
  <si>
    <t>Jan 2016</t>
  </si>
  <si>
    <t>Oct/Okt 2015  - Jan 2016</t>
  </si>
  <si>
    <t>Oct/Okt 2014  - Jan 2015</t>
  </si>
  <si>
    <t>1 Jan 2016</t>
  </si>
  <si>
    <t>Prog. Oct/Okt 2015  - Jan 2016</t>
  </si>
  <si>
    <t>Prog. Oct/Okt 2014  - Jan 2015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</si>
  <si>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</si>
  <si>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</si>
  <si>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</si>
  <si>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</si>
  <si>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</si>
  <si>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</si>
  <si>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Surplus(-)/Deficit(+)(iii)</t>
  </si>
  <si>
    <t>Surplus(-)/Tekort(+)(iii)</t>
  </si>
  <si>
    <t>31 Jan 2016</t>
  </si>
  <si>
    <t>31 Jan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</si>
</sst>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42332</v>
          </cell>
          <cell r="D8" t="str">
            <v>SMD-112015</v>
          </cell>
        </row>
        <row r="25">
          <cell r="B25" t="str">
            <v>Oktober 2015</v>
          </cell>
          <cell r="C25" t="str">
            <v>Oct/Okt 2015</v>
          </cell>
          <cell r="D25" t="str">
            <v>Oct/Okt 2014</v>
          </cell>
          <cell r="E25" t="str">
            <v>October 2015</v>
          </cell>
        </row>
        <row r="41">
          <cell r="C41" t="str">
            <v>1 Oct/Okt 2015</v>
          </cell>
          <cell r="D41" t="str">
            <v>1 Oct/Okt 2014</v>
          </cell>
        </row>
        <row r="58">
          <cell r="C58" t="str">
            <v>31 Oct/Okt 2015</v>
          </cell>
          <cell r="D58" t="str">
            <v>31 Oct/Okt 2014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2015/16 Year (Oct - Sep) / 2015/16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218051</v>
          </cell>
          <cell r="E14">
            <v>344</v>
          </cell>
        </row>
        <row r="15">
          <cell r="D15">
            <v>395407</v>
          </cell>
          <cell r="E15">
            <v>0</v>
          </cell>
        </row>
        <row r="19">
          <cell r="D19">
            <v>263964</v>
          </cell>
          <cell r="E19">
            <v>0</v>
          </cell>
        </row>
        <row r="20">
          <cell r="D20">
            <v>32</v>
          </cell>
          <cell r="E20">
            <v>452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1205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2478</v>
          </cell>
          <cell r="E36">
            <v>-184</v>
          </cell>
        </row>
        <row r="37">
          <cell r="D37">
            <v>-2257</v>
          </cell>
          <cell r="E37">
            <v>-3</v>
          </cell>
        </row>
        <row r="43">
          <cell r="D43">
            <v>598473</v>
          </cell>
          <cell r="E43">
            <v>3938</v>
          </cell>
        </row>
        <row r="44">
          <cell r="D44">
            <v>329701</v>
          </cell>
          <cell r="E44">
            <v>317</v>
          </cell>
        </row>
        <row r="47">
          <cell r="D47">
            <v>7219</v>
          </cell>
          <cell r="E47">
            <v>0</v>
          </cell>
        </row>
        <row r="48">
          <cell r="D48">
            <v>28587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218395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2478</v>
          </cell>
          <cell r="C37">
            <v>-184</v>
          </cell>
        </row>
      </sheetData>
      <sheetData sheetId="19">
        <row r="36">
          <cell r="B36">
            <v>-2257</v>
          </cell>
          <cell r="C36">
            <v>-3</v>
          </cell>
        </row>
      </sheetData>
      <sheetData sheetId="20">
        <row r="11">
          <cell r="B11">
            <v>395407</v>
          </cell>
        </row>
      </sheetData>
      <sheetData sheetId="21">
        <row r="11">
          <cell r="B11">
            <v>12373</v>
          </cell>
        </row>
      </sheetData>
      <sheetData sheetId="22">
        <row r="11">
          <cell r="B11">
            <v>592639</v>
          </cell>
          <cell r="C11">
            <v>4184</v>
          </cell>
        </row>
      </sheetData>
      <sheetData sheetId="23">
        <row r="14">
          <cell r="B14">
            <v>598473</v>
          </cell>
          <cell r="C14">
            <v>3938</v>
          </cell>
        </row>
      </sheetData>
      <sheetData sheetId="24">
        <row r="14">
          <cell r="B14">
            <v>329701</v>
          </cell>
          <cell r="C14">
            <v>317</v>
          </cell>
        </row>
      </sheetData>
      <sheetData sheetId="25">
        <row r="11">
          <cell r="B11">
            <v>263964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3881</v>
          </cell>
          <cell r="E31">
            <v>0</v>
          </cell>
        </row>
        <row r="32">
          <cell r="D32">
            <v>29628</v>
          </cell>
          <cell r="E32">
            <v>0</v>
          </cell>
        </row>
        <row r="33">
          <cell r="D33">
            <v>21236</v>
          </cell>
          <cell r="E33">
            <v>0</v>
          </cell>
        </row>
        <row r="34"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14"/>
      <c r="B1" s="315"/>
      <c r="C1" s="316"/>
      <c r="D1" s="323" t="s">
        <v>0</v>
      </c>
      <c r="E1" s="324"/>
      <c r="F1" s="324"/>
      <c r="G1" s="324"/>
      <c r="H1" s="324"/>
      <c r="I1" s="324"/>
      <c r="J1" s="324"/>
      <c r="K1" s="325" t="str">
        <f>'[1]Datums'!$D$8</f>
        <v>SMD-112015</v>
      </c>
      <c r="L1" s="326"/>
      <c r="M1" s="327"/>
    </row>
    <row r="2" spans="1:13" ht="30" customHeight="1">
      <c r="A2" s="317"/>
      <c r="B2" s="318"/>
      <c r="C2" s="319"/>
      <c r="D2" s="331" t="str">
        <f>'[1]KS Afr Notas'!$B$4</f>
        <v>Monthly announcement of information / Maandelikse bekendmaking van inligting (1) </v>
      </c>
      <c r="E2" s="332"/>
      <c r="F2" s="332"/>
      <c r="G2" s="332"/>
      <c r="H2" s="332"/>
      <c r="I2" s="332"/>
      <c r="J2" s="332"/>
      <c r="K2" s="328"/>
      <c r="L2" s="329"/>
      <c r="M2" s="330"/>
    </row>
    <row r="3" spans="1:13" ht="30" customHeight="1">
      <c r="A3" s="317"/>
      <c r="B3" s="318"/>
      <c r="C3" s="319"/>
      <c r="D3" s="331" t="str">
        <f>'[1]KS Afr Notas'!$B$5</f>
        <v>2015/16 Year (Oct - Sep) / 2015/16 Jaar (Okt - Sep) (2)</v>
      </c>
      <c r="E3" s="332"/>
      <c r="F3" s="332"/>
      <c r="G3" s="332"/>
      <c r="H3" s="332"/>
      <c r="I3" s="332"/>
      <c r="J3" s="332"/>
      <c r="K3" s="328"/>
      <c r="L3" s="329"/>
      <c r="M3" s="330"/>
    </row>
    <row r="4" spans="1:13" ht="30" customHeight="1" thickBot="1">
      <c r="A4" s="317"/>
      <c r="B4" s="318"/>
      <c r="C4" s="319"/>
      <c r="D4" s="333" t="s">
        <v>1</v>
      </c>
      <c r="E4" s="334"/>
      <c r="F4" s="334"/>
      <c r="G4" s="334"/>
      <c r="H4" s="334"/>
      <c r="I4" s="334"/>
      <c r="J4" s="334"/>
      <c r="K4" s="328"/>
      <c r="L4" s="329"/>
      <c r="M4" s="330"/>
    </row>
    <row r="5" spans="1:13" ht="30" customHeight="1">
      <c r="A5" s="317"/>
      <c r="B5" s="318"/>
      <c r="C5" s="319"/>
      <c r="D5" s="335" t="str">
        <f>'[1]Datums'!$C$25</f>
        <v>Oct/Okt 2015</v>
      </c>
      <c r="E5" s="336"/>
      <c r="F5" s="337"/>
      <c r="G5" s="74"/>
      <c r="H5" s="338"/>
      <c r="I5" s="339"/>
      <c r="J5" s="340"/>
      <c r="K5" s="341">
        <f>'[1]Datums'!$C$8</f>
        <v>42332</v>
      </c>
      <c r="L5" s="329"/>
      <c r="M5" s="330"/>
    </row>
    <row r="6" spans="1:13" ht="30" customHeight="1" thickBot="1">
      <c r="A6" s="317"/>
      <c r="B6" s="318"/>
      <c r="C6" s="319"/>
      <c r="D6" s="345" t="s">
        <v>3</v>
      </c>
      <c r="E6" s="346"/>
      <c r="F6" s="346"/>
      <c r="G6" s="75"/>
      <c r="H6" s="345" t="str">
        <f>'[1]Datums'!$D$25</f>
        <v>Oct/Okt 2014</v>
      </c>
      <c r="I6" s="346"/>
      <c r="J6" s="346"/>
      <c r="K6" s="328"/>
      <c r="L6" s="329"/>
      <c r="M6" s="330"/>
    </row>
    <row r="7" spans="1:13" ht="30" customHeight="1">
      <c r="A7" s="317"/>
      <c r="B7" s="318"/>
      <c r="C7" s="319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8"/>
      <c r="L7" s="329"/>
      <c r="M7" s="330"/>
    </row>
    <row r="8" spans="1:13" ht="30" customHeight="1" thickBot="1">
      <c r="A8" s="320"/>
      <c r="B8" s="321"/>
      <c r="C8" s="322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42"/>
      <c r="L8" s="343"/>
      <c r="M8" s="344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10" t="str">
        <f>'[1]Datums'!$C$41</f>
        <v>1 Oct/Okt 2015</v>
      </c>
      <c r="E10" s="311"/>
      <c r="F10" s="311"/>
      <c r="G10" s="93"/>
      <c r="H10" s="310" t="str">
        <f>'[1]Datums'!$D$41</f>
        <v>1 Oct/Okt 2014</v>
      </c>
      <c r="I10" s="311"/>
      <c r="J10" s="31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f>'[2]LSOkt'!$D$11</f>
        <v>592639</v>
      </c>
      <c r="E11" s="4">
        <f>'[2]LSOkt'!$E$11</f>
        <v>4184</v>
      </c>
      <c r="F11" s="5">
        <f>SUM(D11:E11)</f>
        <v>596823</v>
      </c>
      <c r="G11" s="7">
        <f>_xlfn.IFERROR((F11-J11)/J11*100,IF(F11-J11=0,0,100))</f>
        <v>0</v>
      </c>
      <c r="H11" s="3">
        <f>'[3]VorigeBeginVoorraad'!$B$11</f>
        <v>592639</v>
      </c>
      <c r="I11" s="4">
        <f>'[3]VorigeBeginVoorraad'!$C$11</f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3"/>
      <c r="E12" s="313"/>
      <c r="F12" s="313"/>
      <c r="G12" s="7"/>
      <c r="H12" s="313"/>
      <c r="I12" s="313"/>
      <c r="J12" s="313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613458</v>
      </c>
      <c r="E13" s="11">
        <f>E14+E15</f>
        <v>344</v>
      </c>
      <c r="F13" s="5">
        <f>SUM(D13:E13)</f>
        <v>613802</v>
      </c>
      <c r="G13" s="186">
        <f>_xlfn.IFERROR((F13-J13)/J13*100,IF(F13-J13=0,0,100))</f>
        <v>-16.28895898881538</v>
      </c>
      <c r="H13" s="19">
        <f>+H14+H15</f>
        <v>733125</v>
      </c>
      <c r="I13" s="9">
        <f>+I14+I15</f>
        <v>114</v>
      </c>
      <c r="J13" s="5">
        <f>SUM(H13:I13)</f>
        <v>733239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f>'[2]LSOkt'!$D$14</f>
        <v>218051</v>
      </c>
      <c r="E14" s="13">
        <f>'[2]LSOkt'!$E$14</f>
        <v>344</v>
      </c>
      <c r="F14" s="14">
        <f>SUM(D14:E14)</f>
        <v>218395</v>
      </c>
      <c r="G14" s="188">
        <f>_xlfn.IFERROR((F14-J14)/J14*100,IF(F14-J14=0,0,100))</f>
        <v>-35.3539629164792</v>
      </c>
      <c r="H14" s="12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337718</v>
      </c>
      <c r="I14" s="13">
        <f>GETPIVOTDATA("[Measures].[Sum of EnteredValue]",'[4]VorigeOkt'!$B$5,"[VorigeOkt].[ReturnItem]","[VorigeOkt].[ReturnItem].&amp;[A_2_1_ProducerDeliveriesDirectlyFromFarms]","[VorigeOkt].[Description]","[VorigeOkt].[Description].&amp;[Animal Feed]")</f>
        <v>114</v>
      </c>
      <c r="J14" s="14">
        <f>SUM(H14:I14)</f>
        <v>337832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f>'[2]LSOkt'!$D$15</f>
        <v>395407</v>
      </c>
      <c r="E15" s="45">
        <f>'[2]LSOkt'!$E$15</f>
        <v>0</v>
      </c>
      <c r="F15" s="17">
        <f>SUM(D15:E15)</f>
        <v>395407</v>
      </c>
      <c r="G15" s="189">
        <f>_xlfn.IFERROR((F15-J15)/J15*100,IF(F15-J15=0,0,100))</f>
        <v>0</v>
      </c>
      <c r="H15" s="15">
        <f>'[3]VorigeInvoere'!$B$11</f>
        <v>395407</v>
      </c>
      <c r="I15" s="45">
        <f>'[3]VorigeVerwerkMenslik'!$C$11</f>
        <v>0</v>
      </c>
      <c r="J15" s="17">
        <f>SUM(H15:I15)</f>
        <v>395407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264124</v>
      </c>
      <c r="E17" s="9">
        <f>SUM(E19:E25)</f>
        <v>460</v>
      </c>
      <c r="F17" s="6">
        <f>SUM(D17:E17)</f>
        <v>264584</v>
      </c>
      <c r="G17" s="50">
        <f aca="true" t="shared" si="0" ref="G17:G25">_xlfn.IFERROR((F17-J17)/J17*100,IF(F17-J17=0,0,100))</f>
        <v>0.09079078776140181</v>
      </c>
      <c r="H17" s="3">
        <f>SUM(H19:H25)</f>
        <v>264108</v>
      </c>
      <c r="I17" s="9">
        <f>SUM(I19:I25)</f>
        <v>236</v>
      </c>
      <c r="J17" s="6">
        <f>SUM(H17:I17)</f>
        <v>264344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263996</v>
      </c>
      <c r="E18" s="13">
        <f>SUM(E19:E22)</f>
        <v>452</v>
      </c>
      <c r="F18" s="10">
        <f>SUM(D18:E18)</f>
        <v>264448</v>
      </c>
      <c r="G18" s="183">
        <f t="shared" si="0"/>
        <v>0.09841476524293308</v>
      </c>
      <c r="H18" s="13">
        <f>SUM(H19:H22)</f>
        <v>263964</v>
      </c>
      <c r="I18" s="13">
        <f>SUM(I19:I22)</f>
        <v>224</v>
      </c>
      <c r="J18" s="10">
        <f>SUM(H18:I18)</f>
        <v>264188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f>'[2]LSOkt'!$D$19</f>
        <v>263964</v>
      </c>
      <c r="E19" s="24">
        <f>'[2]LSOkt'!$E$19</f>
        <v>0</v>
      </c>
      <c r="F19" s="25">
        <f>+E19+D19</f>
        <v>263964</v>
      </c>
      <c r="G19" s="184">
        <f t="shared" si="0"/>
        <v>0</v>
      </c>
      <c r="H19" s="23">
        <f>'[3]VorigeVerwerkMenslik'!$B$11</f>
        <v>263964</v>
      </c>
      <c r="I19" s="24">
        <f>'[3]VorigeVerwerkMenslik'!$C$11</f>
        <v>0</v>
      </c>
      <c r="J19" s="25">
        <f>H19+I19</f>
        <v>263964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f>'[2]LSOkt'!$D$20</f>
        <v>32</v>
      </c>
      <c r="E20" s="27">
        <f>'[2]LSOkt'!$E$20</f>
        <v>452</v>
      </c>
      <c r="F20" s="28">
        <f>+E20+D20</f>
        <v>484</v>
      </c>
      <c r="G20" s="190">
        <f t="shared" si="0"/>
        <v>116.07142857142858</v>
      </c>
      <c r="H20" s="26">
        <f>GETPIVOTDATA("[Measures].[Sum of EnteredValue]",'[4]VorigeOkt'!$B$5,"[VorigeOkt].[ReturnItem]","[VorigeOkt].[ReturnItem].&amp;[A_3_1_B_Animalfeed_WHEAT]","[VorigeOkt].[Description]","[VorigeOkt].[Description].&amp;[Human Consumption]")</f>
        <v>0</v>
      </c>
      <c r="I20" s="27">
        <f>GETPIVOTDATA("[Measures].[Sum of EnteredValue]",'[4]VorigeOkt'!$B$5,"[VorigeOkt].[ReturnItem]","[VorigeOkt].[ReturnItem].&amp;[A_3_1_B_Animalfeed_WHEAT]","[VorigeOkt].[Description]","[VorigeOkt].[Description].&amp;[Animal Feed]")</f>
        <v>224</v>
      </c>
      <c r="J20" s="28">
        <f>H20+I20</f>
        <v>224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f>'[2]LSOkt'!$D$21</f>
        <v>0</v>
      </c>
      <c r="E21" s="27">
        <f>'[2]LSOkt'!$E$21</f>
        <v>0</v>
      </c>
      <c r="F21" s="28">
        <f>+E21+D21</f>
        <v>0</v>
      </c>
      <c r="G21" s="190">
        <f t="shared" si="0"/>
        <v>0</v>
      </c>
      <c r="H21" s="26">
        <f>GETPIVOTDATA("[Measures].[Sum of EnteredValue]",'[4]VorigeOkt'!$B$5,"[VorigeOkt].[ReturnItem]","[VorigeOkt].[ReturnItem].&amp;[A_3_1_C_Gristing_WHEAT]","[VorigeOkt].[Description]","[VorigeOkt].[Description].&amp;[Human Consumption]")</f>
        <v>0</v>
      </c>
      <c r="I21" s="27">
        <f>GETPIVOTDATA("[Measures].[Sum of EnteredValue]",'[4]VorigeOkt'!$B$5,"[VorigeOkt].[ReturnItem]","[VorigeOkt].[ReturnItem].&amp;[A_3_1_C_Gristing_WHEAT]","[VorigeOkt].[Description]","[VorigeOkt].[Description].&amp;[Animal Feed]")</f>
        <v>0</v>
      </c>
      <c r="J21" s="28">
        <f>H21+I21</f>
        <v>0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f>'[2]LSOkt'!$D$22</f>
        <v>0</v>
      </c>
      <c r="E22" s="30">
        <f>'[2]LSOkt'!$E$22</f>
        <v>0</v>
      </c>
      <c r="F22" s="31">
        <f>D22+E22</f>
        <v>0</v>
      </c>
      <c r="G22" s="191">
        <f t="shared" si="0"/>
        <v>0</v>
      </c>
      <c r="H22" s="29">
        <f>GETPIVOTDATA("[Measures].[Sum of EnteredValue]",'[4]VorigeOkt'!$B$5,"[VorigeOkt].[ReturnItem]","[VorigeOkt].[ReturnItem].&amp;[A_3_1_D_BioFuel_WHEAT]","[VorigeOkt].[Description]","[VorigeOkt].[Description].&amp;[Human Consumption]")</f>
        <v>0</v>
      </c>
      <c r="I22" s="30">
        <f>GETPIVOTDATA("[Measures].[Sum of EnteredValue]",'[4]VorigeOkt'!$B$5,"[VorigeOkt].[ReturnItem]","[VorigeOkt].[ReturnItem].&amp;[A_3_1_D_BioFuel_WHEAT]","[VorigeOkt].[Description]","[VorigeOkt].[Description].&amp;[Animal Feed]")</f>
        <v>0</v>
      </c>
      <c r="J22" s="31">
        <f>H22+I22</f>
        <v>0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f>'[2]LSOkt'!$D$23</f>
        <v>42</v>
      </c>
      <c r="E23" s="27">
        <f>'[2]LSOkt'!$E$23</f>
        <v>0</v>
      </c>
      <c r="F23" s="28">
        <f>SUM(D23:E23)</f>
        <v>42</v>
      </c>
      <c r="G23" s="184">
        <f t="shared" si="0"/>
        <v>-14.285714285714285</v>
      </c>
      <c r="H23" s="26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49</v>
      </c>
      <c r="I23" s="27">
        <f>GETPIVOTDATA("[Measures].[Sum of EnteredValue]",'[4]VorigeOkt'!$B$5,"[VorigeOkt].[ReturnItem]","[VorigeOkt].[ReturnItem].&amp;[A_3_4_A_WithdrawnByProducersOwnUtilisation]","[VorigeOkt].[Description]","[VorigeOkt].[Description].&amp;[Animal Feed]")</f>
        <v>0</v>
      </c>
      <c r="J23" s="25">
        <f>H23+I23</f>
        <v>49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f>'[2]LSOkt'!$D$24</f>
        <v>28</v>
      </c>
      <c r="E24" s="27">
        <f>'[2]LSOkt'!$E$24</f>
        <v>8</v>
      </c>
      <c r="F24" s="32">
        <f>SUM(D24:E24)</f>
        <v>36</v>
      </c>
      <c r="G24" s="183">
        <f t="shared" si="0"/>
        <v>-66.35514018691589</v>
      </c>
      <c r="H24" s="26">
        <f>GETPIVOTDATA("[Measures].[Sum of EnteredValue]",'[4]VorigeOkt'!$B$5,"[VorigeOkt].[ReturnItem]","[VorigeOkt].[ReturnItem].&amp;[A_3_4_B_ToEndConsumers]","[VorigeOkt].[Description]","[VorigeOkt].[Description].&amp;[Human Consumption]")</f>
        <v>95</v>
      </c>
      <c r="I24" s="27">
        <f>GETPIVOTDATA("[Measures].[Sum of EnteredValue]",'[4]VorigeOkt'!$B$5,"[VorigeOkt].[ReturnItem]","[VorigeOkt].[ReturnItem].&amp;[A_3_4_B_ToEndConsumers]","[VorigeOkt].[Description]","[VorigeOkt].[Description].&amp;[Animal Feed]")</f>
        <v>12</v>
      </c>
      <c r="J24" s="32">
        <f>SUM(H24:I24)</f>
        <v>107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f>'[2]LSOkt'!$D$25</f>
        <v>58</v>
      </c>
      <c r="E25" s="16">
        <f>'[2]LSOkt'!$E$25</f>
        <v>0</v>
      </c>
      <c r="F25" s="33">
        <f>SUM(D25:E25)</f>
        <v>58</v>
      </c>
      <c r="G25" s="181">
        <f t="shared" si="0"/>
        <v>100</v>
      </c>
      <c r="H25" s="15">
        <f>GETPIVOTDATA("[Measures].[Sum of EnteredValue]",'[4]VorigeOkt'!$B$5,"[VorigeOkt].[ReturnItem]","[VorigeOkt].[ReturnItem].&amp;[A_3_4_C_SeedForPlantingPurposes]","[VorigeOkt].[Description]","[VorigeOkt].[Description].&amp;[Human Consumption]")</f>
        <v>0</v>
      </c>
      <c r="I25" s="16">
        <f>GETPIVOTDATA("[Measures].[Sum of EnteredValue]",'[4]VorigeOkt'!$B$5,"[VorigeOkt].[ReturnItem]","[VorigeOkt].[ReturnItem].&amp;[A_3_4_C_SeedForPlantingPurposes]","[VorigeOkt].[Description]","[VorigeOkt].[Description].&amp;[Animal Feed]")</f>
        <v>0</v>
      </c>
      <c r="J25" s="33">
        <f>SUM(H25:I25)</f>
        <v>0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>
        <f aca="true" t="shared" si="2" ref="G27:G33">_xlfn.IFERROR((F27-J27)/J27*100,IF(F27-J27=0,0,100))</f>
        <v>-6.326319420489825</v>
      </c>
      <c r="H27" s="12">
        <f>SUM(H28+H31)</f>
        <v>14495</v>
      </c>
      <c r="I27" s="13">
        <f>SUM(I28+I31)</f>
        <v>0</v>
      </c>
      <c r="J27" s="10">
        <f aca="true" t="shared" si="3" ref="J27:J33">SUM(H27:I27)</f>
        <v>14495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>
        <f t="shared" si="2"/>
        <v>-43.21394910461828</v>
      </c>
      <c r="H28" s="20">
        <f>SUM(H29:H30)</f>
        <v>2122</v>
      </c>
      <c r="I28" s="13">
        <f>SUM(I29:I30)</f>
        <v>0</v>
      </c>
      <c r="J28" s="14">
        <f t="shared" si="3"/>
        <v>2122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f>'[2]LSOkt'!$D$29</f>
        <v>1205</v>
      </c>
      <c r="E29" s="37">
        <f>'[2]LSOkt'!$E$29</f>
        <v>0</v>
      </c>
      <c r="F29" s="38">
        <f t="shared" si="1"/>
        <v>1205</v>
      </c>
      <c r="G29" s="187">
        <f t="shared" si="2"/>
        <v>-43.21394910461828</v>
      </c>
      <c r="H29" s="36">
        <f>GETPIVOTDATA("[Measures].[Sum of EnteredValue]",'[4]VorigeOkt'!$B$5,"[VorigeOkt].[ReturnItem]","[VorigeOkt].[ReturnItem].&amp;[D_1_1_AfricanCountries]","[VorigeOkt].[Description]","[VorigeOkt].[Description].&amp;[Human Consumption]")</f>
        <v>2122</v>
      </c>
      <c r="I29" s="37">
        <f>GETPIVOTDATA("[Measures].[Sum of EnteredValue]",'[4]VorigeOkt'!$B$5,"[VorigeOkt].[ReturnItem]","[VorigeOkt].[ReturnItem].&amp;[D_1_1_AfricanCountries]","[VorigeOkt].[Description]","[VorigeOkt].[Description].&amp;[Animal Feed]")</f>
        <v>0</v>
      </c>
      <c r="J29" s="38">
        <f t="shared" si="3"/>
        <v>2122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f>'[2]LSOkt'!$D$30</f>
        <v>0</v>
      </c>
      <c r="E30" s="40">
        <f>'[2]LSOkt'!$E$30</f>
        <v>0</v>
      </c>
      <c r="F30" s="41">
        <f t="shared" si="1"/>
        <v>0</v>
      </c>
      <c r="G30" s="65">
        <f t="shared" si="2"/>
        <v>0</v>
      </c>
      <c r="H30" s="39">
        <f>GETPIVOTDATA("[Measures].[Sum of EnteredValue]",'[4]VorigeOkt'!$B$5,"[VorigeOkt].[ReturnItem]","[VorigeOkt].[ReturnItem].&amp;[D_1_2_OtherCountries]","[VorigeOkt].[Description]","[VorigeOkt].[Description].&amp;[Human Consumption]")</f>
        <v>0</v>
      </c>
      <c r="I30" s="40">
        <f>GETPIVOTDATA("[Measures].[Sum of EnteredValue]",'[4]VorigeOkt'!$B$5,"[VorigeOkt].[ReturnItem]","[VorigeOkt].[ReturnItem].&amp;[D_1_2_OtherCountries]","[VorigeOkt].[Description]","[VorigeOkt].[Description].&amp;[Animal Feed]")</f>
        <v>0</v>
      </c>
      <c r="J30" s="41">
        <f t="shared" si="3"/>
        <v>0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>
        <f t="shared" si="2"/>
        <v>0</v>
      </c>
      <c r="H31" s="42">
        <f>SUM(H32:H33)</f>
        <v>12373</v>
      </c>
      <c r="I31" s="43">
        <f>SUM(I32:I33)</f>
        <v>0</v>
      </c>
      <c r="J31" s="32">
        <f t="shared" si="3"/>
        <v>12373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f>'[2]LSOkt'!$D$32</f>
        <v>12373</v>
      </c>
      <c r="E32" s="37">
        <f>'[2]LSOkt'!$E$32</f>
        <v>0</v>
      </c>
      <c r="F32" s="38">
        <f t="shared" si="1"/>
        <v>12373</v>
      </c>
      <c r="G32" s="187">
        <f t="shared" si="2"/>
        <v>0</v>
      </c>
      <c r="H32" s="36">
        <f>'[3]VorigeUItvoerGrens'!$B$11</f>
        <v>12373</v>
      </c>
      <c r="I32" s="37">
        <f>'[3]VorigeVerwerkMenslik'!$C$11</f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f>'[2]LSOkt'!$D$33</f>
        <v>0</v>
      </c>
      <c r="E33" s="45">
        <f>'[2]LSOkt'!$E$33</f>
        <v>0</v>
      </c>
      <c r="F33" s="33">
        <f t="shared" si="1"/>
        <v>0</v>
      </c>
      <c r="G33" s="179">
        <f t="shared" si="2"/>
        <v>0</v>
      </c>
      <c r="H33" s="44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0</v>
      </c>
      <c r="I33" s="45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0</v>
      </c>
      <c r="J33" s="33">
        <f t="shared" si="3"/>
        <v>0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221</v>
      </c>
      <c r="E35" s="9">
        <f>SUM(E36:E37)</f>
        <v>-187</v>
      </c>
      <c r="F35" s="5">
        <f>SUM(F36:F37)</f>
        <v>34</v>
      </c>
      <c r="G35" s="46"/>
      <c r="H35" s="4">
        <f>SUM(H36:H37)</f>
        <v>221</v>
      </c>
      <c r="I35" s="9">
        <f>SUM(I36:I37)</f>
        <v>-187</v>
      </c>
      <c r="J35" s="5">
        <f>SUM(J36:J37)</f>
        <v>34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f>'[2]LSOkt'!$D$36</f>
        <v>2478</v>
      </c>
      <c r="E36" s="27">
        <f>'[2]LSOkt'!$E$36</f>
        <v>-184</v>
      </c>
      <c r="F36" s="14">
        <f>SUM(D36:E36)</f>
        <v>2294</v>
      </c>
      <c r="G36" s="47"/>
      <c r="H36" s="26">
        <f>'[3]VorigeOntvangstesVersendings'!$B$37</f>
        <v>2478</v>
      </c>
      <c r="I36" s="27">
        <f>'[3]VorigeOntvangstesVersendings'!$C$37</f>
        <v>-184</v>
      </c>
      <c r="J36" s="14">
        <f>+H36+I36</f>
        <v>2294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f>'[2]LSOkt'!$D$37</f>
        <v>-2257</v>
      </c>
      <c r="E37" s="45">
        <f>'[2]LSOkt'!$E$37</f>
        <v>-3</v>
      </c>
      <c r="F37" s="17">
        <f>SUM(D37:E37)</f>
        <v>-2260</v>
      </c>
      <c r="G37" s="48"/>
      <c r="H37" s="15">
        <f>'[3]VorigeSurplusTekort'!$B$36</f>
        <v>-2257</v>
      </c>
      <c r="I37" s="45">
        <f>'[3]VorigeSurplusTekort'!$C$36</f>
        <v>-3</v>
      </c>
      <c r="J37" s="17">
        <f>+H37+I37</f>
        <v>-2260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50" t="str">
        <f>'[1]Datums'!$C$58</f>
        <v>31 Oct/Okt 2015</v>
      </c>
      <c r="E39" s="351"/>
      <c r="F39" s="351"/>
      <c r="G39" s="50"/>
      <c r="H39" s="350" t="str">
        <f>'[1]Datums'!$D$58</f>
        <v>31 Oct/Okt 2014</v>
      </c>
      <c r="I39" s="351"/>
      <c r="J39" s="351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928174</v>
      </c>
      <c r="E40" s="4">
        <f>E11+E13-E17-E27-E35</f>
        <v>4255</v>
      </c>
      <c r="F40" s="6">
        <f>SUM(D40:E40)</f>
        <v>932429</v>
      </c>
      <c r="G40" s="192">
        <f>_xlfn.IFERROR((F40-J40)/J40*100,IF(F40-J40=0,0,100))</f>
        <v>-11.297682909543385</v>
      </c>
      <c r="H40" s="19">
        <f>H11+H13-H17-H27-H35</f>
        <v>1046940</v>
      </c>
      <c r="I40" s="9">
        <f>+I11+I13-I17-I27-I35</f>
        <v>4249</v>
      </c>
      <c r="J40" s="6">
        <f>SUM(H40:I40)</f>
        <v>1051189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3"/>
      <c r="E41" s="313"/>
      <c r="F41" s="313"/>
      <c r="G41" s="7"/>
      <c r="H41" s="313"/>
      <c r="I41" s="313"/>
      <c r="J41" s="313"/>
      <c r="K41" s="347"/>
      <c r="L41" s="347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928174</v>
      </c>
      <c r="E42" s="9">
        <f>SUM(E43:E44)</f>
        <v>4255</v>
      </c>
      <c r="F42" s="5">
        <f>SUM(F43:F44)</f>
        <v>932429</v>
      </c>
      <c r="G42" s="192">
        <f>_xlfn.IFERROR((F42-J42)/J42*100,IF(F42-J42=0,0,100))</f>
        <v>0</v>
      </c>
      <c r="H42" s="19">
        <f>SUM(H43:H44)</f>
        <v>928174</v>
      </c>
      <c r="I42" s="9">
        <f>SUM(I43:I44)</f>
        <v>4255</v>
      </c>
      <c r="J42" s="6">
        <f>SUM(H42:I42)</f>
        <v>932429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f>'[2]LSOkt'!$D$43</f>
        <v>598473</v>
      </c>
      <c r="E43" s="27">
        <f>'[2]LSOkt'!$E$43</f>
        <v>3938</v>
      </c>
      <c r="F43" s="28">
        <f>SUM(D43:E43)</f>
        <v>602411</v>
      </c>
      <c r="G43" s="193">
        <f>_xlfn.IFERROR((F43-J43)/J43*100,IF(F43-J43=0,0,100))</f>
        <v>0</v>
      </c>
      <c r="H43" s="27">
        <f>'[3]VorigeEindVoorraadOpberg'!$B$14</f>
        <v>598473</v>
      </c>
      <c r="I43" s="27">
        <f>'[3]VorigeEindVoorraadOpberg'!$C$14</f>
        <v>3938</v>
      </c>
      <c r="J43" s="28">
        <f>SUM(H43:I43)</f>
        <v>602411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f>'[2]LSOkt'!$D$44</f>
        <v>329701</v>
      </c>
      <c r="E44" s="16">
        <f>'[2]LSOkt'!$E$44</f>
        <v>317</v>
      </c>
      <c r="F44" s="17">
        <f>SUM(D44:E44)</f>
        <v>330018</v>
      </c>
      <c r="G44" s="181">
        <f>_xlfn.IFERROR((F44-J44)/J44*100,IF(F44-J44=0,0,100))</f>
        <v>0</v>
      </c>
      <c r="H44" s="15">
        <f>'[3]VorigeEindVoorraadVerwerk'!$B$14</f>
        <v>329701</v>
      </c>
      <c r="I44" s="16">
        <f>'[3]VorigeEindVoorraadVerwerk'!$C$14</f>
        <v>317</v>
      </c>
      <c r="J44" s="17">
        <f>SUM(H44:I44)</f>
        <v>330018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f>'[2]LSOkt'!$D$47</f>
        <v>7219</v>
      </c>
      <c r="E48" s="58">
        <f>'[2]LSOkt'!$E$47</f>
        <v>0</v>
      </c>
      <c r="F48" s="62">
        <f>SUM(D48:E48)</f>
        <v>7219</v>
      </c>
      <c r="G48" s="161"/>
      <c r="H48" s="61">
        <f>'[5]Opsom'!$D$31</f>
        <v>3881</v>
      </c>
      <c r="I48" s="58">
        <f>'[5]Opsom'!$E$31</f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f>'[2]LSOkt'!$D$48</f>
        <v>28587</v>
      </c>
      <c r="E49" s="58">
        <f>'[2]LSOkt'!$E$48</f>
        <v>0</v>
      </c>
      <c r="F49" s="62">
        <f>SUM(D49:E49)</f>
        <v>28587</v>
      </c>
      <c r="G49" s="161"/>
      <c r="H49" s="61">
        <f>'[5]Opsom'!$D$32</f>
        <v>29628</v>
      </c>
      <c r="I49" s="58">
        <f>'[5]Opsom'!$E$32</f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f>'[2]LSOkt'!$D$49</f>
        <v>15136</v>
      </c>
      <c r="E50" s="58">
        <f>'[2]LSOkt'!$E$49</f>
        <v>0</v>
      </c>
      <c r="F50" s="62">
        <f>SUM(D50:E50)</f>
        <v>15136</v>
      </c>
      <c r="G50" s="161"/>
      <c r="H50" s="61">
        <f>'[5]Opsom'!$D$33</f>
        <v>21236</v>
      </c>
      <c r="I50" s="58">
        <f>'[5]Opsom'!$E$33</f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f>'[2]LSOkt'!$D$50</f>
        <v>0</v>
      </c>
      <c r="E51" s="64">
        <f>'[2]LSOkt'!$E$50</f>
        <v>0</v>
      </c>
      <c r="F51" s="62">
        <f>SUM(D51:E51)</f>
        <v>0</v>
      </c>
      <c r="G51" s="163"/>
      <c r="H51" s="61">
        <f>'[5]Opsom'!$D$34</f>
        <v>0</v>
      </c>
      <c r="I51" s="64">
        <f>'[5]Opsom'!$E$34</f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tr">
        <f>'[1]KS Afr Notas'!$B$9</f>
        <v>Producer deliveries directly from farms (ton):</v>
      </c>
      <c r="G53" s="170" t="s">
        <v>88</v>
      </c>
      <c r="H53" s="348" t="str">
        <f>'[1]KS Afr Notas'!$B$20</f>
        <v>Produsentelewerings direk vanaf plase (ton):</v>
      </c>
      <c r="I53" s="348"/>
      <c r="J53" s="348"/>
      <c r="K53" s="348"/>
      <c r="L53" s="348"/>
      <c r="M53" s="349"/>
    </row>
    <row r="54" spans="1:13" ht="30" customHeight="1">
      <c r="A54" s="195"/>
      <c r="B54" s="196"/>
      <c r="C54" s="196"/>
      <c r="D54" s="197"/>
      <c r="E54" s="194"/>
      <c r="F54" s="198" t="str">
        <f>'[1]KS Afr Notas'!$B$10</f>
        <v>August 2013</v>
      </c>
      <c r="G54" s="2">
        <f>'[2]LSOkt'!$F$54</f>
        <v>6454</v>
      </c>
      <c r="H54" s="194" t="str">
        <f>'[1]KS Afr Notas'!$B$21</f>
        <v>Augustus 2013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tr">
        <f>'[1]KS Afr Notas'!$B$11</f>
        <v>September 2013</v>
      </c>
      <c r="G55" s="2">
        <f>'[2]LSOkt'!$F$55</f>
        <v>2264</v>
      </c>
      <c r="H55" s="194" t="str">
        <f>'[1]KS Afr Notas'!$B$22</f>
        <v>September 2013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tr">
        <f>'[1]Datums'!$E$25</f>
        <v>October 2015</v>
      </c>
      <c r="G56" s="2">
        <f>'[2]LSOkt'!$F$56</f>
        <v>218395</v>
      </c>
      <c r="H56" s="201" t="str">
        <f>'[1]Datums'!$B$25</f>
        <v>Oktober 2015</v>
      </c>
      <c r="I56" s="203"/>
      <c r="J56" s="196"/>
      <c r="K56" s="196"/>
      <c r="L56" s="205"/>
      <c r="M56" s="206"/>
    </row>
    <row r="57" spans="1:13" ht="30" customHeight="1">
      <c r="A57" s="352" t="str">
        <f>'[1]KS Afr Notas'!$B$13</f>
        <v>Wheat equivalent.</v>
      </c>
      <c r="B57" s="353"/>
      <c r="C57" s="353"/>
      <c r="D57" s="353"/>
      <c r="E57" s="353"/>
      <c r="F57" s="353"/>
      <c r="G57" s="171" t="s">
        <v>77</v>
      </c>
      <c r="H57" s="348" t="str">
        <f>'[1]KS Afr Notas'!$B$24</f>
        <v>Koring ekwivalent.</v>
      </c>
      <c r="I57" s="348"/>
      <c r="J57" s="348"/>
      <c r="K57" s="348"/>
      <c r="L57" s="348"/>
      <c r="M57" s="349"/>
    </row>
    <row r="58" spans="1:13" ht="30" customHeight="1">
      <c r="A58" s="352" t="str">
        <f>'[1]KS Afr Notas'!$B$14</f>
        <v>Processed for drinkable alcohol included.</v>
      </c>
      <c r="B58" s="353"/>
      <c r="C58" s="353"/>
      <c r="D58" s="353"/>
      <c r="E58" s="353"/>
      <c r="F58" s="353"/>
      <c r="G58" s="172" t="s">
        <v>79</v>
      </c>
      <c r="H58" s="348" t="str">
        <f>'[1]KS Afr Notas'!$B$25</f>
        <v>Verwerk vir drinkbare alkohol ingesluit.</v>
      </c>
      <c r="I58" s="348"/>
      <c r="J58" s="348"/>
      <c r="K58" s="348"/>
      <c r="L58" s="348"/>
      <c r="M58" s="349"/>
    </row>
    <row r="59" spans="1:19" ht="30" customHeight="1">
      <c r="A59" s="352" t="str">
        <f>'[1]KS Afr Notas'!$B$16</f>
        <v>Due to certain market conditions, wheat suitable for human consumption has been used for animal feed.</v>
      </c>
      <c r="B59" s="353"/>
      <c r="C59" s="353"/>
      <c r="D59" s="353"/>
      <c r="E59" s="353"/>
      <c r="F59" s="353"/>
      <c r="G59" s="172" t="s">
        <v>81</v>
      </c>
      <c r="H59" s="348" t="str">
        <f>'[1]KS Afr Notas'!$B$27</f>
        <v>As gevolg van markfaktore is koring wat geskik is vir menslike verbruik in die veevoermark aangewend.</v>
      </c>
      <c r="I59" s="348"/>
      <c r="J59" s="348"/>
      <c r="K59" s="348"/>
      <c r="L59" s="348"/>
      <c r="M59" s="349"/>
      <c r="N59" s="127"/>
      <c r="O59" s="127"/>
      <c r="P59" s="127"/>
      <c r="Q59" s="100"/>
      <c r="R59" s="100"/>
      <c r="S59" s="101"/>
    </row>
    <row r="60" spans="1:19" ht="30" customHeight="1">
      <c r="A60" s="352" t="str">
        <f>'[1]KS Afr Notas'!$B$17</f>
        <v>Also refer to general footnotes.</v>
      </c>
      <c r="B60" s="353"/>
      <c r="C60" s="353"/>
      <c r="D60" s="353"/>
      <c r="E60" s="353"/>
      <c r="F60" s="353"/>
      <c r="G60" s="172" t="s">
        <v>82</v>
      </c>
      <c r="H60" s="348" t="str">
        <f>'[1]KS Afr Notas'!$B$28</f>
        <v>Verwys ook na algemene voetnotas.</v>
      </c>
      <c r="I60" s="348"/>
      <c r="J60" s="348"/>
      <c r="K60" s="348"/>
      <c r="L60" s="348"/>
      <c r="M60" s="349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A60:F60"/>
    <mergeCell ref="H60:M60"/>
    <mergeCell ref="A57:F57"/>
    <mergeCell ref="H57:M57"/>
    <mergeCell ref="A58:F58"/>
    <mergeCell ref="H58:M58"/>
    <mergeCell ref="A59:F59"/>
    <mergeCell ref="H59:M59"/>
    <mergeCell ref="D41:F41"/>
    <mergeCell ref="H41:J41"/>
    <mergeCell ref="K41:L41"/>
    <mergeCell ref="H53:M53"/>
    <mergeCell ref="D39:F39"/>
    <mergeCell ref="H39:J39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A1:C8"/>
    <mergeCell ref="D1:J1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48" sqref="J48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76"/>
      <c r="B1" s="377"/>
      <c r="C1" s="378"/>
      <c r="D1" s="385" t="s">
        <v>0</v>
      </c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7"/>
      <c r="Q1" s="323" t="s">
        <v>105</v>
      </c>
      <c r="R1" s="324"/>
      <c r="S1" s="356"/>
    </row>
    <row r="2" spans="1:19" ht="30">
      <c r="A2" s="379"/>
      <c r="B2" s="380"/>
      <c r="C2" s="381"/>
      <c r="D2" s="360" t="s">
        <v>91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57"/>
      <c r="R2" s="358"/>
      <c r="S2" s="359"/>
    </row>
    <row r="3" spans="1:19" ht="30">
      <c r="A3" s="379"/>
      <c r="B3" s="380"/>
      <c r="C3" s="381"/>
      <c r="D3" s="360" t="s">
        <v>92</v>
      </c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57"/>
      <c r="R3" s="358"/>
      <c r="S3" s="359"/>
    </row>
    <row r="4" spans="1:19" ht="30.75" thickBot="1">
      <c r="A4" s="379"/>
      <c r="B4" s="380"/>
      <c r="C4" s="381"/>
      <c r="D4" s="362" t="s">
        <v>1</v>
      </c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57"/>
      <c r="R4" s="358"/>
      <c r="S4" s="359"/>
    </row>
    <row r="5" spans="1:19" ht="30">
      <c r="A5" s="379"/>
      <c r="B5" s="380"/>
      <c r="C5" s="381"/>
      <c r="D5" s="364"/>
      <c r="E5" s="365"/>
      <c r="F5" s="366"/>
      <c r="G5" s="364" t="s">
        <v>106</v>
      </c>
      <c r="H5" s="365"/>
      <c r="I5" s="366"/>
      <c r="J5" s="367" t="s">
        <v>2</v>
      </c>
      <c r="K5" s="365"/>
      <c r="L5" s="365"/>
      <c r="M5" s="211"/>
      <c r="N5" s="367" t="s">
        <v>2</v>
      </c>
      <c r="O5" s="365"/>
      <c r="P5" s="366"/>
      <c r="Q5" s="368">
        <v>42424</v>
      </c>
      <c r="R5" s="358"/>
      <c r="S5" s="359"/>
    </row>
    <row r="6" spans="1:19" ht="30.75" thickBot="1">
      <c r="A6" s="379"/>
      <c r="B6" s="380"/>
      <c r="C6" s="381"/>
      <c r="D6" s="388" t="s">
        <v>101</v>
      </c>
      <c r="E6" s="389"/>
      <c r="F6" s="390"/>
      <c r="G6" s="391" t="s">
        <v>3</v>
      </c>
      <c r="H6" s="389"/>
      <c r="I6" s="390"/>
      <c r="J6" s="391" t="s">
        <v>107</v>
      </c>
      <c r="K6" s="389"/>
      <c r="L6" s="389"/>
      <c r="M6" s="214"/>
      <c r="N6" s="391" t="s">
        <v>108</v>
      </c>
      <c r="O6" s="389"/>
      <c r="P6" s="389"/>
      <c r="Q6" s="357"/>
      <c r="R6" s="358"/>
      <c r="S6" s="359"/>
    </row>
    <row r="7" spans="1:19" ht="30">
      <c r="A7" s="379"/>
      <c r="B7" s="380"/>
      <c r="C7" s="381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57"/>
      <c r="R7" s="358"/>
      <c r="S7" s="359"/>
    </row>
    <row r="8" spans="1:19" ht="30.75" thickBot="1">
      <c r="A8" s="382"/>
      <c r="B8" s="383"/>
      <c r="C8" s="384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369"/>
      <c r="R8" s="370"/>
      <c r="S8" s="371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72" t="s">
        <v>102</v>
      </c>
      <c r="E10" s="373"/>
      <c r="F10" s="374"/>
      <c r="G10" s="372" t="s">
        <v>109</v>
      </c>
      <c r="H10" s="373"/>
      <c r="I10" s="374"/>
      <c r="J10" s="375" t="s">
        <v>93</v>
      </c>
      <c r="K10" s="373"/>
      <c r="L10" s="373"/>
      <c r="M10" s="229"/>
      <c r="N10" s="375" t="s">
        <v>89</v>
      </c>
      <c r="O10" s="373"/>
      <c r="P10" s="374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1504802</v>
      </c>
      <c r="E11" s="4">
        <v>4453</v>
      </c>
      <c r="F11" s="5">
        <v>1509255</v>
      </c>
      <c r="G11" s="4">
        <v>1566521</v>
      </c>
      <c r="H11" s="4">
        <v>4535</v>
      </c>
      <c r="I11" s="5">
        <v>1571056</v>
      </c>
      <c r="J11" s="3">
        <v>592639</v>
      </c>
      <c r="K11" s="4">
        <v>4184</v>
      </c>
      <c r="L11" s="5">
        <v>596823</v>
      </c>
      <c r="M11" s="7">
        <v>22.16811387725525</v>
      </c>
      <c r="N11" s="3">
        <v>482511</v>
      </c>
      <c r="O11" s="4">
        <v>6015</v>
      </c>
      <c r="P11" s="6">
        <v>488526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3"/>
      <c r="E12" s="313"/>
      <c r="F12" s="313"/>
      <c r="G12" s="313"/>
      <c r="H12" s="313"/>
      <c r="I12" s="313"/>
      <c r="J12" s="313" t="s">
        <v>110</v>
      </c>
      <c r="K12" s="313"/>
      <c r="L12" s="313"/>
      <c r="M12" s="7"/>
      <c r="N12" s="313" t="s">
        <v>111</v>
      </c>
      <c r="O12" s="313"/>
      <c r="P12" s="313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321695</v>
      </c>
      <c r="E13" s="9">
        <v>461</v>
      </c>
      <c r="F13" s="10">
        <v>322156</v>
      </c>
      <c r="G13" s="8">
        <v>227237</v>
      </c>
      <c r="H13" s="9">
        <v>313</v>
      </c>
      <c r="I13" s="10">
        <v>227550</v>
      </c>
      <c r="J13" s="8">
        <v>2015680</v>
      </c>
      <c r="K13" s="9">
        <v>1728</v>
      </c>
      <c r="L13" s="10">
        <v>2017408</v>
      </c>
      <c r="M13" s="179">
        <v>-11.24559672295441</v>
      </c>
      <c r="N13" s="9">
        <v>2271382</v>
      </c>
      <c r="O13" s="11">
        <v>1641</v>
      </c>
      <c r="P13" s="5">
        <v>2273023</v>
      </c>
      <c r="Q13" s="233"/>
      <c r="R13" s="233"/>
      <c r="S13" s="235" t="s">
        <v>15</v>
      </c>
    </row>
    <row r="14" spans="1:19" ht="30">
      <c r="A14" s="231"/>
      <c r="B14" s="240" t="s">
        <v>112</v>
      </c>
      <c r="C14" s="241"/>
      <c r="D14" s="12">
        <v>295902</v>
      </c>
      <c r="E14" s="13">
        <v>461</v>
      </c>
      <c r="F14" s="14">
        <v>296363</v>
      </c>
      <c r="G14" s="12">
        <v>30791</v>
      </c>
      <c r="H14" s="13">
        <v>313</v>
      </c>
      <c r="I14" s="14">
        <v>31104</v>
      </c>
      <c r="J14" s="12">
        <v>1320625</v>
      </c>
      <c r="K14" s="13">
        <v>1728</v>
      </c>
      <c r="L14" s="14">
        <v>1322353</v>
      </c>
      <c r="M14" s="180">
        <v>-17.864181634439138</v>
      </c>
      <c r="N14" s="12">
        <v>1608318</v>
      </c>
      <c r="O14" s="13">
        <v>1641</v>
      </c>
      <c r="P14" s="14">
        <v>1609959</v>
      </c>
      <c r="Q14" s="242"/>
      <c r="R14" s="243" t="s">
        <v>113</v>
      </c>
      <c r="S14" s="238"/>
    </row>
    <row r="15" spans="1:19" ht="30.75" thickBot="1">
      <c r="A15" s="231"/>
      <c r="B15" s="244" t="s">
        <v>18</v>
      </c>
      <c r="C15" s="245"/>
      <c r="D15" s="15">
        <v>25793</v>
      </c>
      <c r="E15" s="16">
        <v>0</v>
      </c>
      <c r="F15" s="17">
        <v>25793</v>
      </c>
      <c r="G15" s="15">
        <v>196446</v>
      </c>
      <c r="H15" s="16">
        <v>0</v>
      </c>
      <c r="I15" s="17">
        <v>196446</v>
      </c>
      <c r="J15" s="15">
        <v>695055</v>
      </c>
      <c r="K15" s="16">
        <v>0</v>
      </c>
      <c r="L15" s="17">
        <v>695055</v>
      </c>
      <c r="M15" s="181">
        <v>4.824722802022128</v>
      </c>
      <c r="N15" s="15">
        <v>663064</v>
      </c>
      <c r="O15" s="16">
        <v>0</v>
      </c>
      <c r="P15" s="17">
        <v>663064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252185</v>
      </c>
      <c r="E17" s="9">
        <v>425</v>
      </c>
      <c r="F17" s="6">
        <v>252610</v>
      </c>
      <c r="G17" s="19">
        <v>248936</v>
      </c>
      <c r="H17" s="9">
        <v>358</v>
      </c>
      <c r="I17" s="6">
        <v>249294</v>
      </c>
      <c r="J17" s="19">
        <v>1036278</v>
      </c>
      <c r="K17" s="9">
        <v>1661</v>
      </c>
      <c r="L17" s="6">
        <v>1037939</v>
      </c>
      <c r="M17" s="50">
        <v>0.05513959861842531</v>
      </c>
      <c r="N17" s="19">
        <v>1036388</v>
      </c>
      <c r="O17" s="9">
        <v>979</v>
      </c>
      <c r="P17" s="5">
        <v>1037367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250864</v>
      </c>
      <c r="E18" s="21">
        <v>365</v>
      </c>
      <c r="F18" s="13">
        <v>251229</v>
      </c>
      <c r="G18" s="8">
        <v>247716</v>
      </c>
      <c r="H18" s="21">
        <v>251</v>
      </c>
      <c r="I18" s="13">
        <v>247967</v>
      </c>
      <c r="J18" s="8">
        <v>1033418</v>
      </c>
      <c r="K18" s="21">
        <v>1430</v>
      </c>
      <c r="L18" s="22">
        <v>1034848</v>
      </c>
      <c r="M18" s="183">
        <v>0.08259235546821356</v>
      </c>
      <c r="N18" s="8">
        <v>1033159</v>
      </c>
      <c r="O18" s="21">
        <v>835</v>
      </c>
      <c r="P18" s="14">
        <v>1033994</v>
      </c>
      <c r="Q18" s="251"/>
      <c r="R18" s="252" t="s">
        <v>24</v>
      </c>
      <c r="S18" s="235"/>
    </row>
    <row r="19" spans="1:19" ht="30">
      <c r="A19" s="231"/>
      <c r="B19" s="253"/>
      <c r="C19" s="240" t="s">
        <v>114</v>
      </c>
      <c r="D19" s="23">
        <v>250849</v>
      </c>
      <c r="E19" s="24">
        <v>0</v>
      </c>
      <c r="F19" s="25">
        <v>250849</v>
      </c>
      <c r="G19" s="23">
        <v>247637</v>
      </c>
      <c r="H19" s="24">
        <v>0</v>
      </c>
      <c r="I19" s="25">
        <v>247637</v>
      </c>
      <c r="J19" s="23">
        <v>1032919</v>
      </c>
      <c r="K19" s="24">
        <v>0</v>
      </c>
      <c r="L19" s="25">
        <v>1032919</v>
      </c>
      <c r="M19" s="184">
        <v>-9.681291871587344E-05</v>
      </c>
      <c r="N19" s="23">
        <v>1032920</v>
      </c>
      <c r="O19" s="24">
        <v>0</v>
      </c>
      <c r="P19" s="25">
        <v>1032920</v>
      </c>
      <c r="Q19" s="243" t="s">
        <v>115</v>
      </c>
      <c r="R19" s="215"/>
      <c r="S19" s="238"/>
    </row>
    <row r="20" spans="1:19" ht="30">
      <c r="A20" s="231"/>
      <c r="B20" s="254"/>
      <c r="C20" s="255" t="s">
        <v>27</v>
      </c>
      <c r="D20" s="26">
        <v>15</v>
      </c>
      <c r="E20" s="27">
        <v>365</v>
      </c>
      <c r="F20" s="28">
        <v>380</v>
      </c>
      <c r="G20" s="26">
        <v>79</v>
      </c>
      <c r="H20" s="27">
        <v>251</v>
      </c>
      <c r="I20" s="28">
        <v>330</v>
      </c>
      <c r="J20" s="26">
        <v>499</v>
      </c>
      <c r="K20" s="27">
        <v>1430</v>
      </c>
      <c r="L20" s="28">
        <v>1929</v>
      </c>
      <c r="M20" s="183">
        <v>79.60893854748603</v>
      </c>
      <c r="N20" s="26">
        <v>239</v>
      </c>
      <c r="O20" s="27">
        <v>835</v>
      </c>
      <c r="P20" s="28">
        <v>1074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410</v>
      </c>
      <c r="E23" s="27">
        <v>54</v>
      </c>
      <c r="F23" s="28">
        <v>464</v>
      </c>
      <c r="G23" s="26">
        <v>186</v>
      </c>
      <c r="H23" s="27">
        <v>0</v>
      </c>
      <c r="I23" s="28">
        <v>186</v>
      </c>
      <c r="J23" s="26">
        <v>725</v>
      </c>
      <c r="K23" s="27">
        <v>54</v>
      </c>
      <c r="L23" s="28">
        <v>779</v>
      </c>
      <c r="M23" s="184">
        <v>14.558823529411766</v>
      </c>
      <c r="N23" s="26">
        <v>654</v>
      </c>
      <c r="O23" s="27">
        <v>26</v>
      </c>
      <c r="P23" s="28">
        <v>680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44</v>
      </c>
      <c r="E24" s="27">
        <v>6</v>
      </c>
      <c r="F24" s="32">
        <v>50</v>
      </c>
      <c r="G24" s="26">
        <v>77</v>
      </c>
      <c r="H24" s="27">
        <v>107</v>
      </c>
      <c r="I24" s="32">
        <v>184</v>
      </c>
      <c r="J24" s="26">
        <v>194</v>
      </c>
      <c r="K24" s="27">
        <v>177</v>
      </c>
      <c r="L24" s="32">
        <v>371</v>
      </c>
      <c r="M24" s="183">
        <v>-6.313131313131313</v>
      </c>
      <c r="N24" s="26">
        <v>278</v>
      </c>
      <c r="O24" s="27">
        <v>118</v>
      </c>
      <c r="P24" s="32">
        <v>396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867</v>
      </c>
      <c r="E25" s="16">
        <v>0</v>
      </c>
      <c r="F25" s="33">
        <v>867</v>
      </c>
      <c r="G25" s="15">
        <v>957</v>
      </c>
      <c r="H25" s="16">
        <v>0</v>
      </c>
      <c r="I25" s="33">
        <v>957</v>
      </c>
      <c r="J25" s="15">
        <v>1941</v>
      </c>
      <c r="K25" s="16">
        <v>0</v>
      </c>
      <c r="L25" s="33">
        <v>1941</v>
      </c>
      <c r="M25" s="181">
        <v>-15.498476273400087</v>
      </c>
      <c r="N25" s="15">
        <v>2297</v>
      </c>
      <c r="O25" s="16">
        <v>0</v>
      </c>
      <c r="P25" s="33">
        <v>2297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4998</v>
      </c>
      <c r="E27" s="35">
        <v>0</v>
      </c>
      <c r="F27" s="10">
        <v>4998</v>
      </c>
      <c r="G27" s="8">
        <v>5250</v>
      </c>
      <c r="H27" s="35">
        <v>0</v>
      </c>
      <c r="I27" s="10">
        <v>5250</v>
      </c>
      <c r="J27" s="8">
        <v>29734</v>
      </c>
      <c r="K27" s="35">
        <v>0</v>
      </c>
      <c r="L27" s="10">
        <v>29734</v>
      </c>
      <c r="M27" s="186">
        <v>-65.87084777668098</v>
      </c>
      <c r="N27" s="8">
        <v>87122</v>
      </c>
      <c r="O27" s="35">
        <v>0</v>
      </c>
      <c r="P27" s="10">
        <v>87122</v>
      </c>
      <c r="Q27" s="236"/>
      <c r="R27" s="236"/>
      <c r="S27" s="268" t="s">
        <v>40</v>
      </c>
    </row>
    <row r="28" spans="1:19" ht="30">
      <c r="A28" s="231"/>
      <c r="B28" s="249" t="s">
        <v>116</v>
      </c>
      <c r="C28" s="269"/>
      <c r="D28" s="8">
        <v>1851</v>
      </c>
      <c r="E28" s="35">
        <v>0</v>
      </c>
      <c r="F28" s="14">
        <v>1851</v>
      </c>
      <c r="G28" s="8">
        <v>988</v>
      </c>
      <c r="H28" s="35">
        <v>0</v>
      </c>
      <c r="I28" s="14">
        <v>988</v>
      </c>
      <c r="J28" s="8">
        <v>6097</v>
      </c>
      <c r="K28" s="35">
        <v>0</v>
      </c>
      <c r="L28" s="14">
        <v>6097</v>
      </c>
      <c r="M28" s="47">
        <v>-9.040728032224376</v>
      </c>
      <c r="N28" s="8">
        <v>6703</v>
      </c>
      <c r="O28" s="35">
        <v>0</v>
      </c>
      <c r="P28" s="14">
        <v>6703</v>
      </c>
      <c r="Q28" s="270"/>
      <c r="R28" s="252" t="s">
        <v>117</v>
      </c>
      <c r="S28" s="235"/>
    </row>
    <row r="29" spans="1:19" ht="30">
      <c r="A29" s="231"/>
      <c r="B29" s="271"/>
      <c r="C29" s="272" t="s">
        <v>43</v>
      </c>
      <c r="D29" s="36">
        <v>1851</v>
      </c>
      <c r="E29" s="37">
        <v>0</v>
      </c>
      <c r="F29" s="38">
        <v>1851</v>
      </c>
      <c r="G29" s="36">
        <v>988</v>
      </c>
      <c r="H29" s="37">
        <v>0</v>
      </c>
      <c r="I29" s="38">
        <v>988</v>
      </c>
      <c r="J29" s="36">
        <v>6097</v>
      </c>
      <c r="K29" s="37">
        <v>0</v>
      </c>
      <c r="L29" s="38">
        <v>6097</v>
      </c>
      <c r="M29" s="187">
        <v>-9.040728032224376</v>
      </c>
      <c r="N29" s="36">
        <v>6703</v>
      </c>
      <c r="O29" s="37">
        <v>0</v>
      </c>
      <c r="P29" s="38">
        <v>6703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3147</v>
      </c>
      <c r="E31" s="43">
        <v>0</v>
      </c>
      <c r="F31" s="32">
        <v>3147</v>
      </c>
      <c r="G31" s="42">
        <v>4262</v>
      </c>
      <c r="H31" s="43">
        <v>0</v>
      </c>
      <c r="I31" s="32">
        <v>4262</v>
      </c>
      <c r="J31" s="42">
        <v>23637</v>
      </c>
      <c r="K31" s="43">
        <v>0</v>
      </c>
      <c r="L31" s="32">
        <v>23637</v>
      </c>
      <c r="M31" s="187">
        <v>-70.60769221203944</v>
      </c>
      <c r="N31" s="42">
        <v>80419</v>
      </c>
      <c r="O31" s="43">
        <v>0</v>
      </c>
      <c r="P31" s="32">
        <v>80419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3147</v>
      </c>
      <c r="E32" s="37">
        <v>0</v>
      </c>
      <c r="F32" s="38">
        <v>3147</v>
      </c>
      <c r="G32" s="36">
        <v>4262</v>
      </c>
      <c r="H32" s="37">
        <v>0</v>
      </c>
      <c r="I32" s="38">
        <v>4262</v>
      </c>
      <c r="J32" s="36">
        <v>23637</v>
      </c>
      <c r="K32" s="37">
        <v>0</v>
      </c>
      <c r="L32" s="38">
        <v>23637</v>
      </c>
      <c r="M32" s="187">
        <v>-70.60769221203944</v>
      </c>
      <c r="N32" s="36">
        <v>80419</v>
      </c>
      <c r="O32" s="37">
        <v>0</v>
      </c>
      <c r="P32" s="38">
        <v>80419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0</v>
      </c>
      <c r="N33" s="44">
        <v>0</v>
      </c>
      <c r="O33" s="45">
        <v>0</v>
      </c>
      <c r="P33" s="33">
        <v>0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2793</v>
      </c>
      <c r="E35" s="9">
        <v>-46</v>
      </c>
      <c r="F35" s="6">
        <v>2747</v>
      </c>
      <c r="G35" s="19">
        <v>-1916</v>
      </c>
      <c r="H35" s="9">
        <v>-173</v>
      </c>
      <c r="I35" s="6">
        <v>-2089</v>
      </c>
      <c r="J35" s="19">
        <v>819</v>
      </c>
      <c r="K35" s="9">
        <v>-412</v>
      </c>
      <c r="L35" s="6">
        <v>407</v>
      </c>
      <c r="M35" s="46"/>
      <c r="N35" s="9">
        <v>-4780</v>
      </c>
      <c r="O35" s="9">
        <v>2181</v>
      </c>
      <c r="P35" s="6">
        <v>-2599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2462</v>
      </c>
      <c r="E36" s="27">
        <v>-46</v>
      </c>
      <c r="F36" s="14">
        <v>2416</v>
      </c>
      <c r="G36" s="26">
        <v>1528</v>
      </c>
      <c r="H36" s="27">
        <v>-179</v>
      </c>
      <c r="I36" s="14">
        <v>1349</v>
      </c>
      <c r="J36" s="26">
        <v>8535</v>
      </c>
      <c r="K36" s="27">
        <v>-509</v>
      </c>
      <c r="L36" s="14">
        <v>8026</v>
      </c>
      <c r="M36" s="47"/>
      <c r="N36" s="26">
        <v>6130</v>
      </c>
      <c r="O36" s="27">
        <v>-342</v>
      </c>
      <c r="P36" s="14">
        <v>5788</v>
      </c>
      <c r="Q36" s="242"/>
      <c r="R36" s="243" t="s">
        <v>56</v>
      </c>
      <c r="S36" s="238"/>
    </row>
    <row r="37" spans="1:19" ht="30.75" thickBot="1">
      <c r="A37" s="231"/>
      <c r="B37" s="259" t="s">
        <v>118</v>
      </c>
      <c r="C37" s="281"/>
      <c r="D37" s="15">
        <v>331</v>
      </c>
      <c r="E37" s="16">
        <v>0</v>
      </c>
      <c r="F37" s="17">
        <v>331</v>
      </c>
      <c r="G37" s="15">
        <v>-3444</v>
      </c>
      <c r="H37" s="16">
        <v>6</v>
      </c>
      <c r="I37" s="17">
        <v>-3438</v>
      </c>
      <c r="J37" s="15">
        <v>-7716</v>
      </c>
      <c r="K37" s="45">
        <v>97</v>
      </c>
      <c r="L37" s="17">
        <v>-7619</v>
      </c>
      <c r="M37" s="48"/>
      <c r="N37" s="15">
        <v>-10910</v>
      </c>
      <c r="O37" s="45">
        <v>2523</v>
      </c>
      <c r="P37" s="17">
        <v>-8387</v>
      </c>
      <c r="Q37" s="246"/>
      <c r="R37" s="247" t="s">
        <v>119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92" t="s">
        <v>103</v>
      </c>
      <c r="E39" s="393"/>
      <c r="F39" s="393"/>
      <c r="G39" s="392" t="s">
        <v>120</v>
      </c>
      <c r="H39" s="393"/>
      <c r="I39" s="393"/>
      <c r="J39" s="392" t="s">
        <v>120</v>
      </c>
      <c r="K39" s="393"/>
      <c r="L39" s="393"/>
      <c r="M39" s="50"/>
      <c r="N39" s="392" t="s">
        <v>121</v>
      </c>
      <c r="O39" s="393"/>
      <c r="P39" s="393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1566521</v>
      </c>
      <c r="E40" s="9">
        <v>4535</v>
      </c>
      <c r="F40" s="4">
        <v>1571056</v>
      </c>
      <c r="G40" s="3">
        <v>1541488</v>
      </c>
      <c r="H40" s="4">
        <v>4663</v>
      </c>
      <c r="I40" s="4">
        <v>1546151</v>
      </c>
      <c r="J40" s="19">
        <v>1541488</v>
      </c>
      <c r="K40" s="19">
        <v>4663</v>
      </c>
      <c r="L40" s="5">
        <v>1546151</v>
      </c>
      <c r="M40" s="181">
        <v>-5.702893101553433</v>
      </c>
      <c r="N40" s="19">
        <v>1635163</v>
      </c>
      <c r="O40" s="9">
        <v>4496</v>
      </c>
      <c r="P40" s="5">
        <v>1639659</v>
      </c>
      <c r="Q40" s="285"/>
      <c r="R40" s="285"/>
      <c r="S40" s="286" t="s">
        <v>90</v>
      </c>
    </row>
    <row r="41" spans="1:19" ht="30.75" thickBot="1">
      <c r="A41" s="287"/>
      <c r="B41" s="228"/>
      <c r="C41" s="228"/>
      <c r="D41" s="313"/>
      <c r="E41" s="313"/>
      <c r="F41" s="313"/>
      <c r="G41" s="313"/>
      <c r="H41" s="313"/>
      <c r="I41" s="313"/>
      <c r="J41" s="313"/>
      <c r="K41" s="313"/>
      <c r="L41" s="313"/>
      <c r="M41" s="7"/>
      <c r="N41" s="313"/>
      <c r="O41" s="313"/>
      <c r="P41" s="313"/>
      <c r="Q41" s="400"/>
      <c r="R41" s="400"/>
      <c r="S41" s="238"/>
    </row>
    <row r="42" spans="1:19" ht="30.75" thickBot="1">
      <c r="A42" s="280" t="s">
        <v>59</v>
      </c>
      <c r="B42" s="232"/>
      <c r="C42" s="232"/>
      <c r="D42" s="19">
        <v>1566521</v>
      </c>
      <c r="E42" s="9">
        <v>4535</v>
      </c>
      <c r="F42" s="4">
        <v>1571056</v>
      </c>
      <c r="G42" s="19">
        <v>1541488</v>
      </c>
      <c r="H42" s="9">
        <v>4663</v>
      </c>
      <c r="I42" s="4">
        <v>1546151</v>
      </c>
      <c r="J42" s="19">
        <v>1541488</v>
      </c>
      <c r="K42" s="9">
        <v>4663</v>
      </c>
      <c r="L42" s="5">
        <v>1546151</v>
      </c>
      <c r="M42" s="181">
        <v>-5.702893101553433</v>
      </c>
      <c r="N42" s="19">
        <v>1635163</v>
      </c>
      <c r="O42" s="9">
        <v>4496</v>
      </c>
      <c r="P42" s="5">
        <v>1639659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1277493</v>
      </c>
      <c r="E43" s="27">
        <v>4412</v>
      </c>
      <c r="F43" s="28">
        <v>1281905</v>
      </c>
      <c r="G43" s="12">
        <v>1217365</v>
      </c>
      <c r="H43" s="27">
        <v>4466</v>
      </c>
      <c r="I43" s="28">
        <v>1221831</v>
      </c>
      <c r="J43" s="12">
        <v>1217365</v>
      </c>
      <c r="K43" s="27">
        <v>4466</v>
      </c>
      <c r="L43" s="28">
        <v>1221831</v>
      </c>
      <c r="M43" s="183">
        <v>-6.009168066082695</v>
      </c>
      <c r="N43" s="12">
        <v>1295575</v>
      </c>
      <c r="O43" s="27">
        <v>4372</v>
      </c>
      <c r="P43" s="28">
        <v>1299947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289028</v>
      </c>
      <c r="E44" s="16">
        <v>123</v>
      </c>
      <c r="F44" s="17">
        <v>289151</v>
      </c>
      <c r="G44" s="15">
        <v>324123</v>
      </c>
      <c r="H44" s="16">
        <v>197</v>
      </c>
      <c r="I44" s="17">
        <v>324320</v>
      </c>
      <c r="J44" s="15">
        <v>324123</v>
      </c>
      <c r="K44" s="16">
        <v>197</v>
      </c>
      <c r="L44" s="17">
        <v>324320</v>
      </c>
      <c r="M44" s="183">
        <v>-4.530896759608138</v>
      </c>
      <c r="N44" s="15">
        <v>339588</v>
      </c>
      <c r="O44" s="16">
        <v>124</v>
      </c>
      <c r="P44" s="17">
        <v>339712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33612</v>
      </c>
      <c r="E48" s="58">
        <v>0</v>
      </c>
      <c r="F48" s="207">
        <v>33612</v>
      </c>
      <c r="G48" s="61">
        <v>11478</v>
      </c>
      <c r="H48" s="58">
        <v>0</v>
      </c>
      <c r="I48" s="207">
        <v>11478</v>
      </c>
      <c r="J48" s="61">
        <v>7219</v>
      </c>
      <c r="K48" s="58">
        <v>0</v>
      </c>
      <c r="L48" s="207">
        <v>7219</v>
      </c>
      <c r="M48" s="208"/>
      <c r="N48" s="61">
        <v>3881</v>
      </c>
      <c r="O48" s="58">
        <v>0</v>
      </c>
      <c r="P48" s="59">
        <v>3881</v>
      </c>
      <c r="Q48" s="354"/>
      <c r="R48" s="355" t="s">
        <v>70</v>
      </c>
      <c r="S48" s="235"/>
    </row>
    <row r="49" spans="1:19" ht="30">
      <c r="A49" s="295"/>
      <c r="B49" s="262" t="s">
        <v>94</v>
      </c>
      <c r="C49" s="294"/>
      <c r="D49" s="61">
        <v>3663</v>
      </c>
      <c r="E49" s="58">
        <v>0</v>
      </c>
      <c r="F49" s="62">
        <v>3663</v>
      </c>
      <c r="G49" s="61">
        <v>18400</v>
      </c>
      <c r="H49" s="58">
        <v>0</v>
      </c>
      <c r="I49" s="62">
        <v>18400</v>
      </c>
      <c r="J49" s="61">
        <v>96832</v>
      </c>
      <c r="K49" s="58">
        <v>0</v>
      </c>
      <c r="L49" s="62">
        <v>96832</v>
      </c>
      <c r="M49" s="63"/>
      <c r="N49" s="61">
        <v>55586</v>
      </c>
      <c r="O49" s="58">
        <v>0</v>
      </c>
      <c r="P49" s="59">
        <v>55586</v>
      </c>
      <c r="Q49" s="236"/>
      <c r="R49" s="237" t="s">
        <v>95</v>
      </c>
      <c r="S49" s="238"/>
    </row>
    <row r="50" spans="1:19" ht="30">
      <c r="A50" s="295"/>
      <c r="B50" s="262" t="s">
        <v>71</v>
      </c>
      <c r="C50" s="294"/>
      <c r="D50" s="61">
        <v>25797</v>
      </c>
      <c r="E50" s="58">
        <v>0</v>
      </c>
      <c r="F50" s="62">
        <v>25797</v>
      </c>
      <c r="G50" s="61">
        <v>19895</v>
      </c>
      <c r="H50" s="58">
        <v>0</v>
      </c>
      <c r="I50" s="62">
        <v>19895</v>
      </c>
      <c r="J50" s="61">
        <v>94068</v>
      </c>
      <c r="K50" s="58">
        <v>0</v>
      </c>
      <c r="L50" s="62">
        <v>94068</v>
      </c>
      <c r="M50" s="63"/>
      <c r="N50" s="61">
        <v>50862</v>
      </c>
      <c r="O50" s="58">
        <v>0</v>
      </c>
      <c r="P50" s="59">
        <v>50862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0</v>
      </c>
      <c r="K51" s="58">
        <v>0</v>
      </c>
      <c r="L51" s="62">
        <v>0</v>
      </c>
      <c r="M51" s="63"/>
      <c r="N51" s="61">
        <v>0</v>
      </c>
      <c r="O51" s="58">
        <v>0</v>
      </c>
      <c r="P51" s="59">
        <v>0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11478</v>
      </c>
      <c r="E52" s="67">
        <v>0</v>
      </c>
      <c r="F52" s="68">
        <v>11478</v>
      </c>
      <c r="G52" s="66">
        <v>9983</v>
      </c>
      <c r="H52" s="67">
        <v>0</v>
      </c>
      <c r="I52" s="68">
        <v>9983</v>
      </c>
      <c r="J52" s="66">
        <v>9983</v>
      </c>
      <c r="K52" s="67">
        <v>0</v>
      </c>
      <c r="L52" s="68">
        <v>9983</v>
      </c>
      <c r="M52" s="70"/>
      <c r="N52" s="66">
        <v>8605</v>
      </c>
      <c r="O52" s="67">
        <v>0</v>
      </c>
      <c r="P52" s="69">
        <v>8605</v>
      </c>
      <c r="Q52" s="299"/>
      <c r="R52" s="300" t="s">
        <v>96</v>
      </c>
      <c r="S52" s="289"/>
    </row>
    <row r="53" spans="1:19" ht="30">
      <c r="A53" s="396" t="s">
        <v>76</v>
      </c>
      <c r="B53" s="397"/>
      <c r="C53" s="397"/>
      <c r="D53" s="397"/>
      <c r="E53" s="397"/>
      <c r="F53" s="397"/>
      <c r="G53" s="397"/>
      <c r="H53" s="397"/>
      <c r="I53" s="397"/>
      <c r="J53" s="301" t="s">
        <v>88</v>
      </c>
      <c r="K53" s="398" t="s">
        <v>78</v>
      </c>
      <c r="L53" s="398"/>
      <c r="M53" s="399"/>
      <c r="N53" s="398"/>
      <c r="O53" s="398"/>
      <c r="P53" s="398"/>
      <c r="Q53" s="398"/>
      <c r="R53" s="291"/>
      <c r="S53" s="292"/>
    </row>
    <row r="54" spans="1:19" ht="30">
      <c r="A54" s="354" t="s">
        <v>97</v>
      </c>
      <c r="B54" s="355"/>
      <c r="C54" s="355"/>
      <c r="D54" s="355"/>
      <c r="E54" s="355"/>
      <c r="F54" s="355"/>
      <c r="G54" s="355"/>
      <c r="H54" s="355"/>
      <c r="I54" s="355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4" t="s">
        <v>98</v>
      </c>
      <c r="B55" s="355"/>
      <c r="C55" s="355"/>
      <c r="D55" s="355"/>
      <c r="E55" s="355"/>
      <c r="F55" s="355"/>
      <c r="G55" s="355"/>
      <c r="H55" s="355"/>
      <c r="I55" s="355"/>
      <c r="J55" s="302" t="s">
        <v>79</v>
      </c>
      <c r="K55" s="262" t="s">
        <v>99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94" t="s">
        <v>104</v>
      </c>
      <c r="B56" s="395"/>
      <c r="C56" s="395"/>
      <c r="D56" s="395"/>
      <c r="E56" s="395"/>
      <c r="F56" s="395"/>
      <c r="G56" s="395"/>
      <c r="H56" s="395"/>
      <c r="I56" s="395"/>
      <c r="J56" s="303"/>
      <c r="K56" s="297" t="s">
        <v>100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  <mergeCell ref="D12:F12"/>
    <mergeCell ref="G12:I12"/>
    <mergeCell ref="J12:L12"/>
    <mergeCell ref="N12:P12"/>
    <mergeCell ref="D39:F39"/>
    <mergeCell ref="G39:I39"/>
    <mergeCell ref="J39:L39"/>
    <mergeCell ref="N39:P39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Bernard Schultz</cp:lastModifiedBy>
  <cp:lastPrinted>2016-02-22T11:59:53Z</cp:lastPrinted>
  <dcterms:created xsi:type="dcterms:W3CDTF">2013-08-02T12:34:35Z</dcterms:created>
  <dcterms:modified xsi:type="dcterms:W3CDTF">2016-02-22T12:01:09Z</dcterms:modified>
  <cp:category/>
  <cp:version/>
  <cp:contentType/>
  <cp:contentStatus/>
</cp:coreProperties>
</file>