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'Eng.Afr'!$A$1:$S$57</definedName>
  </definedNames>
  <calcPr fullCalcOnLoad="1"/>
</workbook>
</file>

<file path=xl/sharedStrings.xml><?xml version="1.0" encoding="utf-8"?>
<sst xmlns="http://schemas.openxmlformats.org/spreadsheetml/2006/main" count="226" uniqueCount="115">
  <si>
    <t>WHEAT / KORING</t>
  </si>
  <si>
    <t xml:space="preserve">Monthly announcement of information / Maandelikse bekendmaking van inligting (1) 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</si>
  <si>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</si>
  <si>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</si>
  <si>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</si>
  <si>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</si>
  <si>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</si>
  <si>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</si>
  <si>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</si>
  <si>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</si>
  <si>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</si>
  <si>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</si>
  <si>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</si>
  <si>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</si>
  <si>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</si>
  <si>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</si>
  <si>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</si>
  <si>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</si>
  <si>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</si>
  <si>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</si>
  <si>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</si>
  <si>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</si>
  <si>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</si>
  <si>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</si>
  <si>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</si>
  <si>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</si>
  <si>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</si>
  <si>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</si>
  <si>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</si>
  <si>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</si>
  <si>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</si>
  <si>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</si>
  <si>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</si>
  <si>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</si>
  <si>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</si>
  <si>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</si>
  <si>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</si>
  <si>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</si>
  <si>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</si>
  <si>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</si>
  <si>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</si>
  <si>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</si>
  <si>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</si>
  <si>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</si>
  <si>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</si>
  <si>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</si>
  <si>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</si>
  <si>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</si>
  <si>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</si>
  <si>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</si>
  <si>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</si>
  <si>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</si>
  <si>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</si>
  <si>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</si>
  <si>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</si>
  <si>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</si>
  <si>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</si>
  <si>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</si>
  <si>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Surplus(-)/Deficit(+)(iv)</t>
  </si>
  <si>
    <t>Surplus(-)/Tekort(+)(iv)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</si>
  <si>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</si>
  <si>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</si>
  <si>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</si>
  <si>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</si>
  <si>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</si>
  <si>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</si>
  <si>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</si>
  <si>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</si>
  <si>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</si>
  <si>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</si>
  <si>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</si>
  <si>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</si>
  <si>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</si>
  <si>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</si>
  <si>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</si>
  <si>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 xml:space="preserve">Ingevoer </t>
  </si>
  <si>
    <t>Exported</t>
  </si>
  <si>
    <t>Uitgevoer</t>
  </si>
  <si>
    <t>Stock surplus(-)/deficit(+)</t>
  </si>
  <si>
    <t>Voorraad surplus(-)/tekort(+)</t>
  </si>
  <si>
    <t>Closing stock</t>
  </si>
  <si>
    <t xml:space="preserve">Eindvoorraad </t>
  </si>
  <si>
    <t>Wheat equivalent.</t>
  </si>
  <si>
    <t>(ii)</t>
  </si>
  <si>
    <t>Koring ekwivalent.</t>
  </si>
  <si>
    <t>Processed for drinkable alcohol included.</t>
  </si>
  <si>
    <t>(iii)</t>
  </si>
  <si>
    <t>Verwerk vir drinkbare alkohol ingesluit.</t>
  </si>
  <si>
    <t>Due to certain market conditions, wheat suitable for human consumption has been used for animal feed.</t>
  </si>
  <si>
    <t>(iv)</t>
  </si>
  <si>
    <t>As gevolg van markfaktore is koring wat geskik is vir menslike verbruik in die veevoermark aangewend.</t>
  </si>
  <si>
    <t>Also refer to general foot notes.</t>
  </si>
  <si>
    <t>(v)</t>
  </si>
  <si>
    <t>Verwys ook na algemene voetnotas.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</si>
  <si>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</si>
  <si>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</si>
  <si>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</si>
  <si>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</si>
  <si>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</si>
  <si>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</si>
  <si>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SMD-012015</t>
  </si>
  <si>
    <t>2014/15 Year (Oct - Sep) / 2014/15 Jaar (Okt - Sep) (2)</t>
  </si>
  <si>
    <t>Dec/Des 2014</t>
  </si>
  <si>
    <t>Nov 2014</t>
  </si>
  <si>
    <t>Oct/Okt  - Dec/Des 2014</t>
  </si>
  <si>
    <t>Oct/Okt - Dec/Des 2013</t>
  </si>
  <si>
    <t>1 Nov 2014</t>
  </si>
  <si>
    <t>1 Dec/Des 2014</t>
  </si>
  <si>
    <t>1 Oct/Okt 2014</t>
  </si>
  <si>
    <t>1 Oct/Okt 2013</t>
  </si>
  <si>
    <t>Prog. Oct/Okt  - Dec/Des 2014</t>
  </si>
  <si>
    <t>Prog. Oct/Okt - Dec/Des 2013</t>
  </si>
  <si>
    <t>30 Nov 2014</t>
  </si>
  <si>
    <t>31 Dec/Des 2014</t>
  </si>
  <si>
    <t>31 Dec/Des 2013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</si>
</sst>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55" applyNumberFormat="1" applyFont="1" applyFill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vertical="center"/>
    </xf>
    <xf numFmtId="164" fontId="3" fillId="0" borderId="12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5" fontId="3" fillId="0" borderId="11" xfId="55" applyNumberFormat="1" applyFont="1" applyFill="1" applyBorder="1" applyAlignment="1">
      <alignment horizontal="center" vertical="center"/>
      <protection/>
    </xf>
    <xf numFmtId="164" fontId="3" fillId="0" borderId="16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5" fontId="3" fillId="0" borderId="18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/>
      <protection/>
    </xf>
    <xf numFmtId="165" fontId="3" fillId="0" borderId="2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21" xfId="55" applyNumberFormat="1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/>
      <protection/>
    </xf>
    <xf numFmtId="165" fontId="3" fillId="0" borderId="23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vertical="center"/>
      <protection/>
    </xf>
    <xf numFmtId="164" fontId="5" fillId="0" borderId="25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13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13" xfId="55" applyNumberFormat="1" applyFont="1" applyFill="1" applyBorder="1" applyAlignment="1">
      <alignment vertical="center"/>
      <protection/>
    </xf>
    <xf numFmtId="164" fontId="5" fillId="0" borderId="30" xfId="55" applyNumberFormat="1" applyFont="1" applyFill="1" applyBorder="1" applyAlignment="1">
      <alignment horizontal="left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6" fillId="0" borderId="32" xfId="55" applyNumberFormat="1" applyFont="1" applyFill="1" applyBorder="1" applyAlignment="1">
      <alignment vertical="center"/>
      <protection/>
    </xf>
    <xf numFmtId="164" fontId="3" fillId="0" borderId="33" xfId="55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left" vertical="center"/>
      <protection/>
    </xf>
    <xf numFmtId="164" fontId="6" fillId="0" borderId="30" xfId="55" applyNumberFormat="1" applyFont="1" applyFill="1" applyBorder="1" applyAlignment="1">
      <alignment horizontal="left" vertical="center"/>
      <protection/>
    </xf>
    <xf numFmtId="164" fontId="3" fillId="0" borderId="1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38" xfId="55" applyNumberFormat="1" applyFont="1" applyFill="1" applyBorder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vertical="center"/>
    </xf>
    <xf numFmtId="164" fontId="5" fillId="0" borderId="30" xfId="55" applyNumberFormat="1" applyFont="1" applyFill="1" applyBorder="1" applyAlignment="1" quotePrefix="1">
      <alignment horizontal="left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32" xfId="55" applyNumberFormat="1" applyFont="1" applyFill="1" applyBorder="1" applyAlignment="1">
      <alignment horizontal="left" vertical="center"/>
      <protection/>
    </xf>
    <xf numFmtId="164" fontId="3" fillId="0" borderId="33" xfId="55" applyNumberFormat="1" applyFont="1" applyFill="1" applyBorder="1" applyAlignment="1" quotePrefix="1">
      <alignment horizontal="left" vertical="center"/>
      <protection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3" fillId="0" borderId="35" xfId="55" applyNumberFormat="1" applyFont="1" applyFill="1" applyBorder="1" applyAlignment="1">
      <alignment horizontal="right" vertical="center"/>
      <protection/>
    </xf>
    <xf numFmtId="164" fontId="3" fillId="0" borderId="43" xfId="55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55" applyNumberFormat="1" applyFont="1" applyFill="1" applyBorder="1" applyAlignment="1">
      <alignment vertical="center"/>
      <protection/>
    </xf>
    <xf numFmtId="164" fontId="6" fillId="0" borderId="46" xfId="55" applyNumberFormat="1" applyFont="1" applyFill="1" applyBorder="1" applyAlignment="1">
      <alignment vertical="center"/>
      <protection/>
    </xf>
    <xf numFmtId="164" fontId="3" fillId="0" borderId="4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>
      <alignment horizontal="right" vertical="center"/>
      <protection/>
    </xf>
    <xf numFmtId="164" fontId="6" fillId="0" borderId="47" xfId="55" applyNumberFormat="1" applyFont="1" applyFill="1" applyBorder="1" applyAlignment="1">
      <alignment horizontal="right" vertical="center"/>
      <protection/>
    </xf>
    <xf numFmtId="164" fontId="3" fillId="0" borderId="1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vertical="center"/>
      <protection/>
    </xf>
    <xf numFmtId="164" fontId="3" fillId="0" borderId="49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6" fillId="0" borderId="49" xfId="55" applyNumberFormat="1" applyFont="1" applyFill="1" applyBorder="1" applyAlignment="1">
      <alignment horizontal="righ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36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0" borderId="51" xfId="0" applyNumberFormat="1" applyFont="1" applyFill="1" applyBorder="1" applyAlignment="1">
      <alignment vertical="center"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horizontal="right" vertical="center"/>
      <protection/>
    </xf>
    <xf numFmtId="164" fontId="3" fillId="0" borderId="20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5" fillId="0" borderId="11" xfId="55" applyNumberFormat="1" applyFont="1" applyFill="1" applyBorder="1" applyAlignment="1">
      <alignment horizontal="right" vertical="center"/>
      <protection/>
    </xf>
    <xf numFmtId="164" fontId="6" fillId="0" borderId="33" xfId="55" applyNumberFormat="1" applyFont="1" applyFill="1" applyBorder="1" applyAlignment="1" quotePrefix="1">
      <alignment horizontal="left" vertical="center"/>
      <protection/>
    </xf>
    <xf numFmtId="164" fontId="6" fillId="0" borderId="53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5" xfId="55" applyNumberFormat="1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6" fillId="0" borderId="44" xfId="55" applyNumberFormat="1" applyFont="1" applyFill="1" applyBorder="1" applyAlignment="1">
      <alignment horizontal="right" vertical="center"/>
      <protection/>
    </xf>
    <xf numFmtId="164" fontId="6" fillId="0" borderId="50" xfId="55" applyNumberFormat="1" applyFont="1" applyFill="1" applyBorder="1" applyAlignment="1">
      <alignment horizontal="left" vertical="center"/>
      <protection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3" fillId="0" borderId="2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57" xfId="55" applyNumberFormat="1" applyFont="1" applyFill="1" applyBorder="1" applyAlignment="1" quotePrefix="1">
      <alignment vertical="center"/>
      <protection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6" fillId="0" borderId="57" xfId="55" applyNumberFormat="1" applyFont="1" applyFill="1" applyBorder="1" applyAlignment="1" quotePrefix="1">
      <alignment horizontal="right" vertical="center"/>
      <protection/>
    </xf>
    <xf numFmtId="164" fontId="5" fillId="0" borderId="25" xfId="55" applyNumberFormat="1" applyFont="1" applyFill="1" applyBorder="1" applyAlignment="1">
      <alignment horizontal="left" vertical="center"/>
      <protection/>
    </xf>
    <xf numFmtId="165" fontId="3" fillId="0" borderId="29" xfId="0" applyNumberFormat="1" applyFont="1" applyFill="1" applyBorder="1" applyAlignment="1" quotePrefix="1">
      <alignment horizontal="center" vertical="center"/>
    </xf>
    <xf numFmtId="165" fontId="3" fillId="0" borderId="24" xfId="0" applyNumberFormat="1" applyFont="1" applyFill="1" applyBorder="1" applyAlignment="1" quotePrefix="1">
      <alignment horizontal="center" vertical="center"/>
    </xf>
    <xf numFmtId="164" fontId="3" fillId="0" borderId="30" xfId="55" applyNumberFormat="1" applyFont="1" applyFill="1" applyBorder="1" applyAlignment="1">
      <alignment vertical="center"/>
      <protection/>
    </xf>
    <xf numFmtId="165" fontId="3" fillId="0" borderId="2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4" fontId="6" fillId="0" borderId="0" xfId="55" applyNumberFormat="1" applyFont="1" applyFill="1" applyBorder="1" applyAlignment="1">
      <alignment horizontal="right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164" fontId="5" fillId="0" borderId="59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right" vertical="center"/>
      <protection/>
    </xf>
    <xf numFmtId="164" fontId="5" fillId="0" borderId="51" xfId="55" applyNumberFormat="1" applyFont="1" applyFill="1" applyBorder="1" applyAlignment="1">
      <alignment horizontal="right" vertical="center"/>
      <protection/>
    </xf>
    <xf numFmtId="164" fontId="5" fillId="0" borderId="2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>
      <alignment vertical="center"/>
      <protection/>
    </xf>
    <xf numFmtId="164" fontId="3" fillId="0" borderId="19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4" fontId="3" fillId="0" borderId="51" xfId="55" applyNumberFormat="1" applyFont="1" applyFill="1" applyBorder="1" applyAlignment="1">
      <alignment vertical="center"/>
      <protection/>
    </xf>
    <xf numFmtId="164" fontId="5" fillId="0" borderId="21" xfId="55" applyNumberFormat="1" applyFont="1" applyFill="1" applyBorder="1" applyAlignment="1" quotePrefix="1">
      <alignment horizontal="left" vertical="center"/>
      <protection/>
    </xf>
    <xf numFmtId="164" fontId="3" fillId="0" borderId="22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5" fontId="3" fillId="0" borderId="47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left" vertical="center"/>
      <protection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quotePrefix="1">
      <alignment horizontal="center" vertical="center"/>
    </xf>
    <xf numFmtId="164" fontId="3" fillId="0" borderId="25" xfId="55" applyNumberFormat="1" applyFont="1" applyFill="1" applyBorder="1" applyAlignment="1">
      <alignment horizontal="left" vertical="center"/>
      <protection/>
    </xf>
    <xf numFmtId="164" fontId="3" fillId="0" borderId="57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 quotePrefix="1">
      <alignment horizontal="center" vertical="center"/>
    </xf>
    <xf numFmtId="164" fontId="3" fillId="0" borderId="59" xfId="55" applyNumberFormat="1" applyFont="1" applyFill="1" applyBorder="1" applyAlignment="1" quotePrefix="1">
      <alignment horizontal="lef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65" xfId="0" applyNumberFormat="1" applyFont="1" applyFill="1" applyBorder="1" applyAlignment="1">
      <alignment horizontal="right" vertical="center"/>
    </xf>
    <xf numFmtId="165" fontId="3" fillId="0" borderId="66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20" xfId="55" applyNumberFormat="1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22" xfId="55" applyFont="1" applyFill="1" applyBorder="1" applyAlignment="1">
      <alignment vertical="center"/>
      <protection/>
    </xf>
    <xf numFmtId="17" fontId="3" fillId="0" borderId="2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 quotePrefix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33" xfId="55" applyFont="1" applyFill="1" applyBorder="1" applyAlignment="1" quotePrefix="1">
      <alignment horizontal="lef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3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>
      <alignment horizontal="lef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57" xfId="55" applyFont="1" applyFill="1" applyBorder="1" applyAlignment="1" quotePrefix="1">
      <alignment vertical="center"/>
      <protection/>
    </xf>
    <xf numFmtId="0" fontId="6" fillId="0" borderId="57" xfId="55" applyFont="1" applyFill="1" applyBorder="1" applyAlignment="1" quotePrefix="1">
      <alignment horizontal="righ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21" xfId="55" applyFont="1" applyFill="1" applyBorder="1" applyAlignment="1" quotePrefix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5" xfId="55" applyFont="1" applyFill="1" applyBorder="1" applyAlignment="1" quotePrefix="1">
      <alignment horizontal="left" vertical="center"/>
      <protection/>
    </xf>
    <xf numFmtId="164" fontId="3" fillId="0" borderId="11" xfId="0" applyNumberFormat="1" applyFont="1" applyFill="1" applyBorder="1" applyAlignment="1" quotePrefix="1">
      <alignment horizontal="center" vertical="center"/>
    </xf>
    <xf numFmtId="0" fontId="3" fillId="0" borderId="25" xfId="55" applyFont="1" applyFill="1" applyBorder="1" applyAlignment="1">
      <alignment horizontal="left" vertical="center"/>
      <protection/>
    </xf>
    <xf numFmtId="164" fontId="3" fillId="0" borderId="61" xfId="0" applyNumberFormat="1" applyFont="1" applyFill="1" applyBorder="1" applyAlignment="1" quotePrefix="1">
      <alignment horizontal="center" vertical="center"/>
    </xf>
    <xf numFmtId="0" fontId="3" fillId="0" borderId="59" xfId="55" applyFont="1" applyFill="1" applyBorder="1" applyAlignment="1" quotePrefix="1">
      <alignment horizontal="left"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66" xfId="0" applyNumberFormat="1" applyFont="1" applyFill="1" applyBorder="1" applyAlignment="1" quotePrefix="1">
      <alignment horizontal="center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9" xfId="55" applyFont="1" applyFill="1" applyBorder="1" applyAlignment="1" quotePrefix="1">
      <alignment horizontal="left"/>
      <protection/>
    </xf>
    <xf numFmtId="0" fontId="8" fillId="0" borderId="20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left"/>
      <protection/>
    </xf>
    <xf numFmtId="0" fontId="8" fillId="0" borderId="20" xfId="55" applyFont="1" applyFill="1" applyBorder="1" applyAlignment="1">
      <alignment/>
      <protection/>
    </xf>
    <xf numFmtId="0" fontId="8" fillId="0" borderId="51" xfId="55" applyFont="1" applyFill="1" applyBorder="1">
      <alignment/>
      <protection/>
    </xf>
    <xf numFmtId="0" fontId="3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13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4" fontId="7" fillId="0" borderId="20" xfId="55" applyNumberFormat="1" applyFont="1" applyFill="1" applyBorder="1" applyAlignment="1">
      <alignment horizontal="center" vertical="center"/>
      <protection/>
    </xf>
    <xf numFmtId="164" fontId="8" fillId="0" borderId="22" xfId="55" applyNumberFormat="1" applyFont="1" applyFill="1" applyBorder="1" applyAlignment="1" quotePrefix="1">
      <alignment horizontal="left"/>
      <protection/>
    </xf>
    <xf numFmtId="164" fontId="8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 quotePrefix="1">
      <alignment horizontal="left"/>
      <protection/>
    </xf>
    <xf numFmtId="165" fontId="3" fillId="0" borderId="22" xfId="55" applyNumberFormat="1" applyFont="1" applyFill="1" applyBorder="1" applyAlignment="1">
      <alignment horizontal="left"/>
      <protection/>
    </xf>
    <xf numFmtId="164" fontId="8" fillId="0" borderId="22" xfId="55" applyNumberFormat="1" applyFont="1" applyFill="1" applyBorder="1" applyAlignment="1">
      <alignment/>
      <protection/>
    </xf>
    <xf numFmtId="164" fontId="8" fillId="0" borderId="22" xfId="55" applyNumberFormat="1" applyFont="1" applyFill="1" applyBorder="1">
      <alignment/>
      <protection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25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22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13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9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3" fillId="0" borderId="5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13" xfId="55" applyNumberFormat="1" applyFont="1" applyFill="1" applyBorder="1" applyAlignment="1">
      <alignment horizontal="left" vertic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5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164" fontId="4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center" vertical="center"/>
      <protection/>
    </xf>
    <xf numFmtId="164" fontId="4" fillId="0" borderId="25" xfId="55" applyNumberFormat="1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164" fontId="4" fillId="0" borderId="13" xfId="55" applyNumberFormat="1" applyFont="1" applyFill="1" applyBorder="1" applyAlignment="1">
      <alignment horizontal="center" vertical="center"/>
      <protection/>
    </xf>
    <xf numFmtId="164" fontId="5" fillId="0" borderId="25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9" xfId="55" applyNumberFormat="1" applyFont="1" applyFill="1" applyBorder="1" applyAlignment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164" fontId="3" fillId="0" borderId="21" xfId="55" applyNumberFormat="1" applyFont="1" applyFill="1" applyBorder="1" applyAlignment="1" quotePrefix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9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center"/>
      <protection/>
    </xf>
    <xf numFmtId="164" fontId="3" fillId="0" borderId="24" xfId="55" applyNumberFormat="1" applyFont="1" applyFill="1" applyBorder="1" applyAlignment="1">
      <alignment horizontal="center"/>
      <protection/>
    </xf>
    <xf numFmtId="164" fontId="3" fillId="0" borderId="25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13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51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center" vertical="center"/>
      <protection/>
    </xf>
    <xf numFmtId="164" fontId="3" fillId="0" borderId="23" xfId="0" applyNumberFormat="1" applyFont="1" applyFill="1" applyBorder="1" applyAlignment="1" quotePrefix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5" fillId="0" borderId="22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51" xfId="55" applyNumberFormat="1" applyFont="1" applyFill="1" applyBorder="1" applyAlignment="1">
      <alignment horizontal="lef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59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209550</xdr:rowOff>
    </xdr:from>
    <xdr:to>
      <xdr:col>2</xdr:col>
      <xdr:colOff>3390900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114300</xdr:rowOff>
    </xdr:from>
    <xdr:to>
      <xdr:col>2</xdr:col>
      <xdr:colOff>4314825</xdr:colOff>
      <xdr:row>7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95450"/>
          <a:ext cx="4514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337367</v>
          </cell>
          <cell r="E14">
            <v>58</v>
          </cell>
        </row>
        <row r="15">
          <cell r="D15">
            <v>266721</v>
          </cell>
          <cell r="E15">
            <v>0</v>
          </cell>
        </row>
        <row r="19">
          <cell r="D19">
            <v>258111</v>
          </cell>
          <cell r="E19">
            <v>0</v>
          </cell>
        </row>
        <row r="20">
          <cell r="D20">
            <v>36</v>
          </cell>
          <cell r="E20">
            <v>169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156</v>
          </cell>
          <cell r="E23">
            <v>0</v>
          </cell>
        </row>
        <row r="24">
          <cell r="D24">
            <v>96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1917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-22</v>
          </cell>
          <cell r="E36">
            <v>-187</v>
          </cell>
        </row>
        <row r="37">
          <cell r="D37">
            <v>-2257</v>
          </cell>
          <cell r="E37">
            <v>-4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133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337425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-1699</v>
          </cell>
          <cell r="C37">
            <v>-187</v>
          </cell>
        </row>
      </sheetData>
      <sheetData sheetId="19">
        <row r="36">
          <cell r="B36">
            <v>-2257</v>
          </cell>
          <cell r="C36">
            <v>-4</v>
          </cell>
        </row>
      </sheetData>
      <sheetData sheetId="20">
        <row r="11">
          <cell r="B11">
            <v>267475</v>
          </cell>
        </row>
      </sheetData>
      <sheetData sheetId="21">
        <row r="11">
          <cell r="B11">
            <v>14093</v>
          </cell>
        </row>
      </sheetData>
      <sheetData sheetId="22">
        <row r="11">
          <cell r="B11">
            <v>479650</v>
          </cell>
          <cell r="C11">
            <v>6015</v>
          </cell>
        </row>
      </sheetData>
      <sheetData sheetId="23">
        <row r="14">
          <cell r="B14">
            <v>540676</v>
          </cell>
          <cell r="C14">
            <v>5947</v>
          </cell>
        </row>
      </sheetData>
      <sheetData sheetId="24">
        <row r="14">
          <cell r="B14">
            <v>273363</v>
          </cell>
          <cell r="C14">
            <v>133</v>
          </cell>
        </row>
      </sheetData>
      <sheetData sheetId="25">
        <row r="11">
          <cell r="B11">
            <v>257711</v>
          </cell>
          <cell r="C1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261" customWidth="1"/>
    <col min="11" max="11" width="92.421875" style="0" customWidth="1"/>
    <col min="12" max="13" width="2.421875" style="0" customWidth="1"/>
  </cols>
  <sheetData>
    <row r="1" spans="1:13" ht="30" customHeight="1">
      <c r="A1" s="310"/>
      <c r="B1" s="311"/>
      <c r="C1" s="312"/>
      <c r="D1" s="319" t="s">
        <v>0</v>
      </c>
      <c r="E1" s="320"/>
      <c r="F1" s="320"/>
      <c r="G1" s="320"/>
      <c r="H1" s="320"/>
      <c r="I1" s="320"/>
      <c r="J1" s="320"/>
      <c r="K1" s="321" t="str">
        <f>'[1]Datums'!$D$8</f>
        <v>SMD-112014</v>
      </c>
      <c r="L1" s="322"/>
      <c r="M1" s="323"/>
    </row>
    <row r="2" spans="1:13" ht="30" customHeight="1">
      <c r="A2" s="313"/>
      <c r="B2" s="314"/>
      <c r="C2" s="315"/>
      <c r="D2" s="327" t="str">
        <f>'[1]KS Afr Notas'!$B$4</f>
        <v>Monthly announcement of information / Maandelikse bekendmaking van inligting (1) </v>
      </c>
      <c r="E2" s="328"/>
      <c r="F2" s="328"/>
      <c r="G2" s="328"/>
      <c r="H2" s="328"/>
      <c r="I2" s="328"/>
      <c r="J2" s="328"/>
      <c r="K2" s="324"/>
      <c r="L2" s="325"/>
      <c r="M2" s="326"/>
    </row>
    <row r="3" spans="1:13" ht="30" customHeight="1">
      <c r="A3" s="313"/>
      <c r="B3" s="314"/>
      <c r="C3" s="315"/>
      <c r="D3" s="327" t="str">
        <f>'[1]KS Afr Notas'!$B$5</f>
        <v>2014/15 Year (Oct - Sep) / 2014/15 Jaar (Okt - Sep) (2)</v>
      </c>
      <c r="E3" s="328"/>
      <c r="F3" s="328"/>
      <c r="G3" s="328"/>
      <c r="H3" s="328"/>
      <c r="I3" s="328"/>
      <c r="J3" s="328"/>
      <c r="K3" s="324"/>
      <c r="L3" s="325"/>
      <c r="M3" s="326"/>
    </row>
    <row r="4" spans="1:13" ht="30" customHeight="1" thickBot="1">
      <c r="A4" s="313"/>
      <c r="B4" s="314"/>
      <c r="C4" s="315"/>
      <c r="D4" s="329" t="s">
        <v>2</v>
      </c>
      <c r="E4" s="330"/>
      <c r="F4" s="330"/>
      <c r="G4" s="330"/>
      <c r="H4" s="330"/>
      <c r="I4" s="330"/>
      <c r="J4" s="330"/>
      <c r="K4" s="324"/>
      <c r="L4" s="325"/>
      <c r="M4" s="326"/>
    </row>
    <row r="5" spans="1:13" ht="30" customHeight="1">
      <c r="A5" s="313"/>
      <c r="B5" s="314"/>
      <c r="C5" s="315"/>
      <c r="D5" s="331" t="str">
        <f>'[1]Datums'!$C$25</f>
        <v>Oct/Okt 2014</v>
      </c>
      <c r="E5" s="332"/>
      <c r="F5" s="333"/>
      <c r="G5" s="157"/>
      <c r="H5" s="334"/>
      <c r="I5" s="335"/>
      <c r="J5" s="336"/>
      <c r="K5" s="337">
        <f>'[1]Datums'!$C$8</f>
        <v>41967</v>
      </c>
      <c r="L5" s="325"/>
      <c r="M5" s="326"/>
    </row>
    <row r="6" spans="1:13" ht="30" customHeight="1" thickBot="1">
      <c r="A6" s="313"/>
      <c r="B6" s="314"/>
      <c r="C6" s="315"/>
      <c r="D6" s="341" t="s">
        <v>4</v>
      </c>
      <c r="E6" s="342"/>
      <c r="F6" s="342"/>
      <c r="G6" s="158"/>
      <c r="H6" s="341" t="str">
        <f>'[1]Datums'!$D$25</f>
        <v>Oct/Okt 2013</v>
      </c>
      <c r="I6" s="342"/>
      <c r="J6" s="342"/>
      <c r="K6" s="324"/>
      <c r="L6" s="325"/>
      <c r="M6" s="326"/>
    </row>
    <row r="7" spans="1:13" ht="30" customHeight="1">
      <c r="A7" s="313"/>
      <c r="B7" s="314"/>
      <c r="C7" s="315"/>
      <c r="D7" s="159" t="s">
        <v>5</v>
      </c>
      <c r="E7" s="160" t="s">
        <v>6</v>
      </c>
      <c r="F7" s="161" t="s">
        <v>7</v>
      </c>
      <c r="G7" s="162" t="s">
        <v>8</v>
      </c>
      <c r="H7" s="159" t="s">
        <v>5</v>
      </c>
      <c r="I7" s="160" t="s">
        <v>6</v>
      </c>
      <c r="J7" s="163" t="s">
        <v>7</v>
      </c>
      <c r="K7" s="324"/>
      <c r="L7" s="325"/>
      <c r="M7" s="326"/>
    </row>
    <row r="8" spans="1:13" ht="30" customHeight="1" thickBot="1">
      <c r="A8" s="316"/>
      <c r="B8" s="317"/>
      <c r="C8" s="318"/>
      <c r="D8" s="164" t="s">
        <v>9</v>
      </c>
      <c r="E8" s="165" t="s">
        <v>10</v>
      </c>
      <c r="F8" s="166" t="s">
        <v>11</v>
      </c>
      <c r="G8" s="167" t="s">
        <v>12</v>
      </c>
      <c r="H8" s="164" t="s">
        <v>9</v>
      </c>
      <c r="I8" s="165" t="s">
        <v>10</v>
      </c>
      <c r="J8" s="168" t="s">
        <v>11</v>
      </c>
      <c r="K8" s="338"/>
      <c r="L8" s="339"/>
      <c r="M8" s="340"/>
    </row>
    <row r="9" spans="1:13" ht="9" customHeight="1" thickBot="1">
      <c r="A9" s="169"/>
      <c r="B9" s="170"/>
      <c r="C9" s="170"/>
      <c r="D9" s="171"/>
      <c r="E9" s="172"/>
      <c r="F9" s="169"/>
      <c r="G9" s="172"/>
      <c r="H9" s="171"/>
      <c r="I9" s="172"/>
      <c r="J9" s="172"/>
      <c r="K9" s="170"/>
      <c r="L9" s="170"/>
      <c r="M9" s="173"/>
    </row>
    <row r="10" spans="1:13" ht="30" customHeight="1" thickBot="1">
      <c r="A10" s="174"/>
      <c r="B10" s="175"/>
      <c r="C10" s="175"/>
      <c r="D10" s="306" t="str">
        <f>'[1]Datums'!$C$41</f>
        <v>1 Oct/Okt 2014</v>
      </c>
      <c r="E10" s="307"/>
      <c r="F10" s="307"/>
      <c r="G10" s="176"/>
      <c r="H10" s="306" t="str">
        <f>'[1]Datums'!$D$41</f>
        <v>1 Oct/Okt 2013</v>
      </c>
      <c r="I10" s="307"/>
      <c r="J10" s="308"/>
      <c r="K10" s="175"/>
      <c r="L10" s="175"/>
      <c r="M10" s="177"/>
    </row>
    <row r="11" spans="1:13" ht="30" customHeight="1" thickBot="1">
      <c r="A11" s="178" t="s">
        <v>13</v>
      </c>
      <c r="B11" s="179"/>
      <c r="C11" s="179"/>
      <c r="D11" s="22">
        <f>'[2]LSOkt'!$D$11</f>
        <v>482511</v>
      </c>
      <c r="E11" s="23">
        <f>'[2]LSOkt'!$E$11</f>
        <v>6015</v>
      </c>
      <c r="F11" s="24">
        <f>SUM(D11:E11)</f>
        <v>488526</v>
      </c>
      <c r="G11" s="30">
        <f>_xlfn.IFERROR((F11-J11)/J11*100,IF(F11-J11=0,0,100))</f>
        <v>0.589089186991033</v>
      </c>
      <c r="H11" s="22">
        <f>'[3]VorigeBeginVoorraad'!$B$11</f>
        <v>479650</v>
      </c>
      <c r="I11" s="23">
        <f>'[3]VorigeBeginVoorraad'!$C$11</f>
        <v>6015</v>
      </c>
      <c r="J11" s="25">
        <f>SUM(H11:I11)</f>
        <v>485665</v>
      </c>
      <c r="K11" s="180"/>
      <c r="L11" s="181"/>
      <c r="M11" s="182" t="s">
        <v>14</v>
      </c>
    </row>
    <row r="12" spans="1:13" ht="30" customHeight="1" thickBot="1">
      <c r="A12" s="178"/>
      <c r="B12" s="183"/>
      <c r="C12" s="183"/>
      <c r="D12" s="309"/>
      <c r="E12" s="309"/>
      <c r="F12" s="309"/>
      <c r="G12" s="30"/>
      <c r="H12" s="309"/>
      <c r="I12" s="309"/>
      <c r="J12" s="309"/>
      <c r="K12" s="184"/>
      <c r="L12" s="184"/>
      <c r="M12" s="185"/>
    </row>
    <row r="13" spans="1:13" ht="30" customHeight="1" thickBot="1">
      <c r="A13" s="178" t="s">
        <v>15</v>
      </c>
      <c r="B13" s="186"/>
      <c r="C13" s="186"/>
      <c r="D13" s="22">
        <f>D14+D15</f>
        <v>604088</v>
      </c>
      <c r="E13" s="36">
        <f>E14+E15</f>
        <v>58</v>
      </c>
      <c r="F13" s="24">
        <f>SUM(D13:E13)</f>
        <v>604146</v>
      </c>
      <c r="G13" s="277">
        <f>_xlfn.IFERROR((F13-J13)/J13*100,IF(F13-J13=0,0,100))</f>
        <v>88.28724942654831</v>
      </c>
      <c r="H13" s="53">
        <f>+H14+H15</f>
        <v>320044</v>
      </c>
      <c r="I13" s="34">
        <f>+I14+I15</f>
        <v>820</v>
      </c>
      <c r="J13" s="24">
        <f>SUM(H13:I13)</f>
        <v>320864</v>
      </c>
      <c r="K13" s="180"/>
      <c r="L13" s="180"/>
      <c r="M13" s="182" t="s">
        <v>16</v>
      </c>
    </row>
    <row r="14" spans="1:13" ht="30" customHeight="1">
      <c r="A14" s="178"/>
      <c r="B14" s="187" t="s">
        <v>17</v>
      </c>
      <c r="C14" s="188"/>
      <c r="D14" s="39">
        <f>'[2]LSOkt'!$D$14</f>
        <v>337367</v>
      </c>
      <c r="E14" s="40">
        <f>'[2]LSOkt'!$E$14</f>
        <v>58</v>
      </c>
      <c r="F14" s="41">
        <f>SUM(D14:E14)</f>
        <v>337425</v>
      </c>
      <c r="G14" s="287">
        <f>_xlfn.IFERROR((F14-J14)/J14*100,IF(F14-J14=0,0,100))</f>
        <v>532.024050348393</v>
      </c>
      <c r="H14" s="39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52569</v>
      </c>
      <c r="I14" s="40">
        <f>GETPIVOTDATA("[Measures].[Sum of EnteredValue]",'[4]VorigeOkt'!$B$5,"[VorigeOkt].[ReturnItem]","[VorigeOkt].[ReturnItem].&amp;[A_2_1_ProducerDeliveriesDirectlyFromFarms]","[VorigeOkt].[Description]","[VorigeOkt].[Description].&amp;[Animal Feed]")</f>
        <v>819</v>
      </c>
      <c r="J14" s="41">
        <f>SUM(H14:I14)</f>
        <v>53388</v>
      </c>
      <c r="K14" s="189"/>
      <c r="L14" s="190" t="s">
        <v>18</v>
      </c>
      <c r="M14" s="185"/>
    </row>
    <row r="15" spans="1:13" ht="30" customHeight="1" thickBot="1">
      <c r="A15" s="178"/>
      <c r="B15" s="191" t="s">
        <v>19</v>
      </c>
      <c r="C15" s="192"/>
      <c r="D15" s="46">
        <f>'[2]LSOkt'!$D$15</f>
        <v>266721</v>
      </c>
      <c r="E15" s="107">
        <f>'[2]LSOkt'!$E$15</f>
        <v>0</v>
      </c>
      <c r="F15" s="48">
        <f>SUM(D15:E15)</f>
        <v>266721</v>
      </c>
      <c r="G15" s="288">
        <f>_xlfn.IFERROR((F15-J15)/J15*100,IF(F15-J15=0,0,100))</f>
        <v>-0.2822683156619659</v>
      </c>
      <c r="H15" s="46">
        <f>'[3]VorigeInvoere'!$B$11</f>
        <v>267475</v>
      </c>
      <c r="I15" s="107">
        <f>'[3]VorigeVerwerkMenslik'!$C$11</f>
        <v>1</v>
      </c>
      <c r="J15" s="48">
        <f>SUM(H15:I15)</f>
        <v>267476</v>
      </c>
      <c r="K15" s="193"/>
      <c r="L15" s="194" t="s">
        <v>20</v>
      </c>
      <c r="M15" s="185"/>
    </row>
    <row r="16" spans="1:13" ht="9" customHeight="1" thickBot="1">
      <c r="A16" s="178"/>
      <c r="B16" s="183"/>
      <c r="C16" s="183"/>
      <c r="D16" s="51"/>
      <c r="E16" s="51"/>
      <c r="F16" s="51" t="s">
        <v>23</v>
      </c>
      <c r="G16" s="273"/>
      <c r="H16" s="51"/>
      <c r="I16" s="51"/>
      <c r="J16" s="51"/>
      <c r="K16" s="184"/>
      <c r="L16" s="184"/>
      <c r="M16" s="185"/>
    </row>
    <row r="17" spans="1:13" ht="30" customHeight="1" thickBot="1">
      <c r="A17" s="178" t="s">
        <v>21</v>
      </c>
      <c r="B17" s="195"/>
      <c r="C17" s="186"/>
      <c r="D17" s="22">
        <f>SUM(D19:D25)</f>
        <v>258399</v>
      </c>
      <c r="E17" s="34">
        <f>SUM(E19:E25)</f>
        <v>184</v>
      </c>
      <c r="F17" s="25">
        <f>SUM(D17:E17)</f>
        <v>258583</v>
      </c>
      <c r="G17" s="116">
        <f aca="true" t="shared" si="0" ref="G17:G25">_xlfn.IFERROR((F17-J17)/J17*100,IF(F17-J17=0,0,100))</f>
        <v>0.17743341404358354</v>
      </c>
      <c r="H17" s="22">
        <f>SUM(H19:H25)</f>
        <v>257926</v>
      </c>
      <c r="I17" s="34">
        <f>SUM(I19:I25)</f>
        <v>199</v>
      </c>
      <c r="J17" s="25">
        <f>SUM(H17:I17)</f>
        <v>258125</v>
      </c>
      <c r="K17" s="180"/>
      <c r="L17" s="180"/>
      <c r="M17" s="182" t="s">
        <v>22</v>
      </c>
    </row>
    <row r="18" spans="1:13" ht="30" customHeight="1">
      <c r="A18" s="178" t="s">
        <v>23</v>
      </c>
      <c r="B18" s="196" t="s">
        <v>24</v>
      </c>
      <c r="C18" s="197"/>
      <c r="D18" s="56">
        <f>SUM(D19:D22)</f>
        <v>258147</v>
      </c>
      <c r="E18" s="40">
        <f>SUM(E19:E22)</f>
        <v>169</v>
      </c>
      <c r="F18" s="35">
        <f>SUM(D18:E18)</f>
        <v>258316</v>
      </c>
      <c r="G18" s="274">
        <f t="shared" si="0"/>
        <v>0.16052609130599996</v>
      </c>
      <c r="H18" s="40">
        <f>SUM(H19:H22)</f>
        <v>257759</v>
      </c>
      <c r="I18" s="40">
        <f>SUM(I19:I22)</f>
        <v>143</v>
      </c>
      <c r="J18" s="35">
        <f>SUM(H18:I18)</f>
        <v>257902</v>
      </c>
      <c r="K18" s="198"/>
      <c r="L18" s="199" t="s">
        <v>25</v>
      </c>
      <c r="M18" s="182"/>
    </row>
    <row r="19" spans="1:13" ht="30" customHeight="1">
      <c r="A19" s="178"/>
      <c r="B19" s="200"/>
      <c r="C19" s="187" t="s">
        <v>26</v>
      </c>
      <c r="D19" s="62">
        <f>'[2]LSOkt'!$D$19</f>
        <v>258111</v>
      </c>
      <c r="E19" s="63">
        <f>'[2]LSOkt'!$E$19</f>
        <v>0</v>
      </c>
      <c r="F19" s="64">
        <f>+E19+D19</f>
        <v>258111</v>
      </c>
      <c r="G19" s="275">
        <f t="shared" si="0"/>
        <v>0.15482398956975227</v>
      </c>
      <c r="H19" s="62">
        <f>'[3]VorigeVerwerkMenslik'!$B$11</f>
        <v>257711</v>
      </c>
      <c r="I19" s="63">
        <f>'[3]VorigeVerwerkMenslik'!$C$11</f>
        <v>1</v>
      </c>
      <c r="J19" s="64">
        <f>H19+I19</f>
        <v>257712</v>
      </c>
      <c r="K19" s="190" t="s">
        <v>27</v>
      </c>
      <c r="L19" s="201"/>
      <c r="M19" s="185"/>
    </row>
    <row r="20" spans="1:13" ht="30" customHeight="1">
      <c r="A20" s="178"/>
      <c r="B20" s="202"/>
      <c r="C20" s="203" t="s">
        <v>28</v>
      </c>
      <c r="D20" s="67">
        <f>'[2]LSOkt'!$D$20</f>
        <v>36</v>
      </c>
      <c r="E20" s="68">
        <f>'[2]LSOkt'!$E$20</f>
        <v>169</v>
      </c>
      <c r="F20" s="69">
        <f>+E20+D20</f>
        <v>205</v>
      </c>
      <c r="G20" s="289">
        <f t="shared" si="0"/>
        <v>7.894736842105263</v>
      </c>
      <c r="H20" s="67">
        <f>GETPIVOTDATA("[Measures].[Sum of EnteredValue]",'[4]VorigeOkt'!$B$5,"[VorigeOkt].[ReturnItem]","[VorigeOkt].[ReturnItem].&amp;[A_3_1_B_Animalfeed_WHEAT]","[VorigeOkt].[Description]","[VorigeOkt].[Description].&amp;[Human Consumption]")</f>
        <v>48</v>
      </c>
      <c r="I20" s="68">
        <f>GETPIVOTDATA("[Measures].[Sum of EnteredValue]",'[4]VorigeOkt'!$B$5,"[VorigeOkt].[ReturnItem]","[VorigeOkt].[ReturnItem].&amp;[A_3_1_B_Animalfeed_WHEAT]","[VorigeOkt].[Description]","[VorigeOkt].[Description].&amp;[Animal Feed]")</f>
        <v>142</v>
      </c>
      <c r="J20" s="69">
        <f>H20+I20</f>
        <v>190</v>
      </c>
      <c r="K20" s="204" t="s">
        <v>29</v>
      </c>
      <c r="L20" s="201"/>
      <c r="M20" s="185"/>
    </row>
    <row r="21" spans="1:13" ht="30" customHeight="1">
      <c r="A21" s="178"/>
      <c r="B21" s="202"/>
      <c r="C21" s="203" t="s">
        <v>30</v>
      </c>
      <c r="D21" s="67">
        <f>'[2]LSOkt'!$D$21</f>
        <v>0</v>
      </c>
      <c r="E21" s="68">
        <f>'[2]LSOkt'!$E$21</f>
        <v>0</v>
      </c>
      <c r="F21" s="69">
        <f>+E21+D21</f>
        <v>0</v>
      </c>
      <c r="G21" s="289">
        <f t="shared" si="0"/>
        <v>0</v>
      </c>
      <c r="H21" s="67">
        <f>GETPIVOTDATA("[Measures].[Sum of EnteredValue]",'[4]VorigeOkt'!$B$5,"[VorigeOkt].[ReturnItem]","[VorigeOkt].[ReturnItem].&amp;[A_3_1_C_Gristing_WHEAT]","[VorigeOkt].[Description]","[VorigeOkt].[Description].&amp;[Human Consumption]")</f>
        <v>0</v>
      </c>
      <c r="I21" s="68">
        <f>GETPIVOTDATA("[Measures].[Sum of EnteredValue]",'[4]VorigeOkt'!$B$5,"[VorigeOkt].[ReturnItem]","[VorigeOkt].[ReturnItem].&amp;[A_3_1_C_Gristing_WHEAT]","[VorigeOkt].[Description]","[VorigeOkt].[Description].&amp;[Animal Feed]")</f>
        <v>0</v>
      </c>
      <c r="J21" s="69">
        <f>H21+I21</f>
        <v>0</v>
      </c>
      <c r="K21" s="205" t="s">
        <v>31</v>
      </c>
      <c r="L21" s="206"/>
      <c r="M21" s="185"/>
    </row>
    <row r="22" spans="1:13" ht="30" customHeight="1">
      <c r="A22" s="178"/>
      <c r="B22" s="202"/>
      <c r="C22" s="207" t="s">
        <v>32</v>
      </c>
      <c r="D22" s="74">
        <f>'[2]LSOkt'!$D$22</f>
        <v>0</v>
      </c>
      <c r="E22" s="75">
        <f>'[2]LSOkt'!$E$22</f>
        <v>0</v>
      </c>
      <c r="F22" s="76">
        <f>D22+E22</f>
        <v>0</v>
      </c>
      <c r="G22" s="290">
        <f t="shared" si="0"/>
        <v>0</v>
      </c>
      <c r="H22" s="74">
        <f>GETPIVOTDATA("[Measures].[Sum of EnteredValue]",'[4]VorigeOkt'!$B$5,"[VorigeOkt].[ReturnItem]","[VorigeOkt].[ReturnItem].&amp;[A_3_1_D_BioFuel_WHEAT]","[VorigeOkt].[Description]","[VorigeOkt].[Description].&amp;[Human Consumption]")</f>
        <v>0</v>
      </c>
      <c r="I22" s="75">
        <f>GETPIVOTDATA("[Measures].[Sum of EnteredValue]",'[4]VorigeOkt'!$B$5,"[VorigeOkt].[ReturnItem]","[VorigeOkt].[ReturnItem].&amp;[A_3_1_D_BioFuel_WHEAT]","[VorigeOkt].[Description]","[VorigeOkt].[Description].&amp;[Animal Feed]")</f>
        <v>0</v>
      </c>
      <c r="J22" s="76">
        <f>H22+I22</f>
        <v>0</v>
      </c>
      <c r="K22" s="208" t="s">
        <v>33</v>
      </c>
      <c r="L22" s="206"/>
      <c r="M22" s="185"/>
    </row>
    <row r="23" spans="1:13" ht="30" customHeight="1">
      <c r="A23" s="178"/>
      <c r="B23" s="209" t="s">
        <v>34</v>
      </c>
      <c r="C23" s="210"/>
      <c r="D23" s="67">
        <f>'[2]LSOkt'!$D$23</f>
        <v>156</v>
      </c>
      <c r="E23" s="68">
        <f>'[2]LSOkt'!$E$23</f>
        <v>0</v>
      </c>
      <c r="F23" s="69">
        <f>SUM(D23:E23)</f>
        <v>156</v>
      </c>
      <c r="G23" s="275">
        <f t="shared" si="0"/>
        <v>122.85714285714286</v>
      </c>
      <c r="H23" s="67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70</v>
      </c>
      <c r="I23" s="68">
        <f>GETPIVOTDATA("[Measures].[Sum of EnteredValue]",'[4]VorigeOkt'!$B$5,"[VorigeOkt].[ReturnItem]","[VorigeOkt].[ReturnItem].&amp;[A_3_4_A_WithdrawnByProducersOwnUtilisation]","[VorigeOkt].[Description]","[VorigeOkt].[Description].&amp;[Animal Feed]")</f>
        <v>0</v>
      </c>
      <c r="J23" s="64">
        <f>H23+I23</f>
        <v>70</v>
      </c>
      <c r="K23" s="184"/>
      <c r="L23" s="206" t="s">
        <v>35</v>
      </c>
      <c r="M23" s="185"/>
    </row>
    <row r="24" spans="1:13" ht="30" customHeight="1">
      <c r="A24" s="178"/>
      <c r="B24" s="209" t="s">
        <v>36</v>
      </c>
      <c r="C24" s="210"/>
      <c r="D24" s="67">
        <f>'[2]LSOkt'!$D$24</f>
        <v>96</v>
      </c>
      <c r="E24" s="68">
        <f>'[2]LSOkt'!$E$24</f>
        <v>15</v>
      </c>
      <c r="F24" s="79">
        <f>SUM(D24:E24)</f>
        <v>111</v>
      </c>
      <c r="G24" s="274">
        <f t="shared" si="0"/>
        <v>-27.450980392156865</v>
      </c>
      <c r="H24" s="67">
        <f>GETPIVOTDATA("[Measures].[Sum of EnteredValue]",'[4]VorigeOkt'!$B$5,"[VorigeOkt].[ReturnItem]","[VorigeOkt].[ReturnItem].&amp;[A_3_4_B_ToEndConsumers]","[VorigeOkt].[Description]","[VorigeOkt].[Description].&amp;[Human Consumption]")</f>
        <v>97</v>
      </c>
      <c r="I24" s="68">
        <f>GETPIVOTDATA("[Measures].[Sum of EnteredValue]",'[4]VorigeOkt'!$B$5,"[VorigeOkt].[ReturnItem]","[VorigeOkt].[ReturnItem].&amp;[A_3_4_B_ToEndConsumers]","[VorigeOkt].[Description]","[VorigeOkt].[Description].&amp;[Animal Feed]")</f>
        <v>56</v>
      </c>
      <c r="J24" s="79">
        <f>SUM(H24:I24)</f>
        <v>153</v>
      </c>
      <c r="K24" s="211"/>
      <c r="L24" s="206" t="s">
        <v>37</v>
      </c>
      <c r="M24" s="185"/>
    </row>
    <row r="25" spans="1:13" ht="30" customHeight="1" thickBot="1">
      <c r="A25" s="178"/>
      <c r="B25" s="212" t="s">
        <v>38</v>
      </c>
      <c r="C25" s="213"/>
      <c r="D25" s="46">
        <f>'[2]LSOkt'!$D$25</f>
        <v>0</v>
      </c>
      <c r="E25" s="47">
        <f>'[2]LSOkt'!$E$25</f>
        <v>0</v>
      </c>
      <c r="F25" s="82">
        <f>SUM(D25:E25)</f>
        <v>0</v>
      </c>
      <c r="G25" s="272">
        <f t="shared" si="0"/>
        <v>0</v>
      </c>
      <c r="H25" s="46">
        <f>GETPIVOTDATA("[Measures].[Sum of EnteredValue]",'[4]VorigeOkt'!$B$5,"[VorigeOkt].[ReturnItem]","[VorigeOkt].[ReturnItem].&amp;[A_3_4_C_SeedForPlantingPurposes]","[VorigeOkt].[Description]","[VorigeOkt].[Description].&amp;[Human Consumption]")</f>
        <v>0</v>
      </c>
      <c r="I25" s="47">
        <f>GETPIVOTDATA("[Measures].[Sum of EnteredValue]",'[4]VorigeOkt'!$B$5,"[VorigeOkt].[ReturnItem]","[VorigeOkt].[ReturnItem].&amp;[A_3_4_C_SeedForPlantingPurposes]","[VorigeOkt].[Description]","[VorigeOkt].[Description].&amp;[Animal Feed]")</f>
        <v>0</v>
      </c>
      <c r="J25" s="82">
        <f>SUM(H25:I25)</f>
        <v>0</v>
      </c>
      <c r="K25" s="214"/>
      <c r="L25" s="215" t="s">
        <v>39</v>
      </c>
      <c r="M25" s="185"/>
    </row>
    <row r="26" spans="1:13" ht="9" customHeight="1" thickBot="1">
      <c r="A26" s="178"/>
      <c r="B26" s="179"/>
      <c r="C26" s="179"/>
      <c r="D26" s="85"/>
      <c r="E26" s="85"/>
      <c r="F26" s="85"/>
      <c r="G26" s="276"/>
      <c r="H26" s="85"/>
      <c r="I26" s="85"/>
      <c r="J26" s="85"/>
      <c r="K26" s="180"/>
      <c r="L26" s="180"/>
      <c r="M26" s="182"/>
    </row>
    <row r="27" spans="1:13" ht="30" customHeight="1" thickBot="1">
      <c r="A27" s="178" t="s">
        <v>40</v>
      </c>
      <c r="B27" s="186"/>
      <c r="C27" s="186"/>
      <c r="D27" s="33">
        <f>SUM(D28+D31)</f>
        <v>16010</v>
      </c>
      <c r="E27" s="86">
        <f>SUM(E28+E31)</f>
        <v>0</v>
      </c>
      <c r="F27" s="35">
        <f aca="true" t="shared" si="1" ref="F27:F33">SUM(D27:E27)</f>
        <v>16010</v>
      </c>
      <c r="G27" s="277">
        <f aca="true" t="shared" si="2" ref="G27:G33">_xlfn.IFERROR((F27-J27)/J27*100,IF(F27-J27=0,0,100))</f>
        <v>5.900251355999471</v>
      </c>
      <c r="H27" s="39">
        <f>SUM(H28+H31)</f>
        <v>15117</v>
      </c>
      <c r="I27" s="40">
        <f>SUM(I28+I31)</f>
        <v>1</v>
      </c>
      <c r="J27" s="35">
        <f aca="true" t="shared" si="3" ref="J27:J33">SUM(H27:I27)</f>
        <v>15118</v>
      </c>
      <c r="K27" s="183"/>
      <c r="L27" s="183"/>
      <c r="M27" s="216" t="s">
        <v>41</v>
      </c>
    </row>
    <row r="28" spans="1:13" ht="30" customHeight="1">
      <c r="A28" s="178"/>
      <c r="B28" s="196" t="s">
        <v>42</v>
      </c>
      <c r="C28" s="217"/>
      <c r="D28" s="56">
        <f>SUM(D29:D30)</f>
        <v>1917</v>
      </c>
      <c r="E28" s="57">
        <f>SUM(E29:E30)</f>
        <v>0</v>
      </c>
      <c r="F28" s="41">
        <f t="shared" si="1"/>
        <v>1917</v>
      </c>
      <c r="G28" s="111">
        <f t="shared" si="2"/>
        <v>87.20703125</v>
      </c>
      <c r="H28" s="56">
        <f>SUM(H29:H30)</f>
        <v>1024</v>
      </c>
      <c r="I28" s="40">
        <f>SUM(I29:I30)</f>
        <v>0</v>
      </c>
      <c r="J28" s="41">
        <f t="shared" si="3"/>
        <v>1024</v>
      </c>
      <c r="K28" s="218"/>
      <c r="L28" s="199" t="s">
        <v>43</v>
      </c>
      <c r="M28" s="182"/>
    </row>
    <row r="29" spans="1:13" ht="30" customHeight="1">
      <c r="A29" s="178"/>
      <c r="B29" s="219"/>
      <c r="C29" s="220" t="s">
        <v>44</v>
      </c>
      <c r="D29" s="92">
        <f>'[2]LSOkt'!$D$29</f>
        <v>1917</v>
      </c>
      <c r="E29" s="93">
        <f>'[2]LSOkt'!$E$29</f>
        <v>0</v>
      </c>
      <c r="F29" s="94">
        <f t="shared" si="1"/>
        <v>1917</v>
      </c>
      <c r="G29" s="278">
        <f t="shared" si="2"/>
        <v>87.20703125</v>
      </c>
      <c r="H29" s="92">
        <f>GETPIVOTDATA("[Measures].[Sum of EnteredValue]",'[4]VorigeOkt'!$B$5,"[VorigeOkt].[ReturnItem]","[VorigeOkt].[ReturnItem].&amp;[D_1_1_AfricanCountries]","[VorigeOkt].[Description]","[VorigeOkt].[Description].&amp;[Human Consumption]")</f>
        <v>1024</v>
      </c>
      <c r="I29" s="93">
        <f>GETPIVOTDATA("[Measures].[Sum of EnteredValue]",'[4]VorigeOkt'!$B$5,"[VorigeOkt].[ReturnItem]","[VorigeOkt].[ReturnItem].&amp;[D_1_1_AfricanCountries]","[VorigeOkt].[Description]","[VorigeOkt].[Description].&amp;[Animal Feed]")</f>
        <v>0</v>
      </c>
      <c r="J29" s="94">
        <f t="shared" si="3"/>
        <v>1024</v>
      </c>
      <c r="K29" s="221" t="s">
        <v>45</v>
      </c>
      <c r="L29" s="204"/>
      <c r="M29" s="185"/>
    </row>
    <row r="30" spans="1:13" ht="30" customHeight="1">
      <c r="A30" s="178"/>
      <c r="B30" s="219"/>
      <c r="C30" s="222" t="s">
        <v>46</v>
      </c>
      <c r="D30" s="97">
        <f>'[2]LSOkt'!$D$30</f>
        <v>0</v>
      </c>
      <c r="E30" s="98">
        <f>'[2]LSOkt'!$E$30</f>
        <v>0</v>
      </c>
      <c r="F30" s="99">
        <f t="shared" si="1"/>
        <v>0</v>
      </c>
      <c r="G30" s="143">
        <f t="shared" si="2"/>
        <v>0</v>
      </c>
      <c r="H30" s="97">
        <f>GETPIVOTDATA("[Measures].[Sum of EnteredValue]",'[4]VorigeOkt'!$B$5,"[VorigeOkt].[ReturnItem]","[VorigeOkt].[ReturnItem].&amp;[D_1_2_OtherCountries]","[VorigeOkt].[Description]","[VorigeOkt].[Description].&amp;[Human Consumption]")</f>
        <v>0</v>
      </c>
      <c r="I30" s="98">
        <f>GETPIVOTDATA("[Measures].[Sum of EnteredValue]",'[4]VorigeOkt'!$B$5,"[VorigeOkt].[ReturnItem]","[VorigeOkt].[ReturnItem].&amp;[D_1_2_OtherCountries]","[VorigeOkt].[Description]","[VorigeOkt].[Description].&amp;[Animal Feed]")</f>
        <v>0</v>
      </c>
      <c r="J30" s="99">
        <f t="shared" si="3"/>
        <v>0</v>
      </c>
      <c r="K30" s="208" t="s">
        <v>47</v>
      </c>
      <c r="L30" s="223"/>
      <c r="M30" s="185"/>
    </row>
    <row r="31" spans="1:13" ht="30" customHeight="1">
      <c r="A31" s="178"/>
      <c r="B31" s="209" t="s">
        <v>48</v>
      </c>
      <c r="C31" s="224"/>
      <c r="D31" s="102">
        <f>SUM(D32:D33)</f>
        <v>14093</v>
      </c>
      <c r="E31" s="103">
        <f>SUM(E32:E33)</f>
        <v>0</v>
      </c>
      <c r="F31" s="79">
        <f t="shared" si="1"/>
        <v>14093</v>
      </c>
      <c r="G31" s="278">
        <f t="shared" si="2"/>
        <v>-0.007095217823187172</v>
      </c>
      <c r="H31" s="102">
        <f>SUM(H32:H33)</f>
        <v>14093</v>
      </c>
      <c r="I31" s="103">
        <f>SUM(I32:I33)</f>
        <v>1</v>
      </c>
      <c r="J31" s="79">
        <f t="shared" si="3"/>
        <v>14094</v>
      </c>
      <c r="K31" s="225"/>
      <c r="L31" s="206" t="s">
        <v>49</v>
      </c>
      <c r="M31" s="185"/>
    </row>
    <row r="32" spans="1:13" ht="30" customHeight="1">
      <c r="A32" s="178"/>
      <c r="B32" s="219"/>
      <c r="C32" s="220" t="s">
        <v>50</v>
      </c>
      <c r="D32" s="92">
        <f>'[2]LSOkt'!$D$32</f>
        <v>14093</v>
      </c>
      <c r="E32" s="93">
        <f>'[2]LSOkt'!$E$32</f>
        <v>0</v>
      </c>
      <c r="F32" s="94">
        <f t="shared" si="1"/>
        <v>14093</v>
      </c>
      <c r="G32" s="278">
        <f t="shared" si="2"/>
        <v>-0.007095217823187172</v>
      </c>
      <c r="H32" s="92">
        <f>'[3]VorigeUItvoerGrens'!$B$11</f>
        <v>14093</v>
      </c>
      <c r="I32" s="93">
        <f>'[3]VorigeVerwerkMenslik'!$C$11</f>
        <v>1</v>
      </c>
      <c r="J32" s="64">
        <f t="shared" si="3"/>
        <v>14094</v>
      </c>
      <c r="K32" s="221" t="s">
        <v>51</v>
      </c>
      <c r="L32" s="223"/>
      <c r="M32" s="185"/>
    </row>
    <row r="33" spans="1:13" ht="30" customHeight="1" thickBot="1">
      <c r="A33" s="178"/>
      <c r="B33" s="226"/>
      <c r="C33" s="222" t="s">
        <v>52</v>
      </c>
      <c r="D33" s="106">
        <f>'[2]LSOkt'!$D$33</f>
        <v>0</v>
      </c>
      <c r="E33" s="107">
        <f>'[2]LSOkt'!$E$33</f>
        <v>0</v>
      </c>
      <c r="F33" s="82">
        <f t="shared" si="1"/>
        <v>0</v>
      </c>
      <c r="G33" s="270">
        <f t="shared" si="2"/>
        <v>0</v>
      </c>
      <c r="H33" s="106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0</v>
      </c>
      <c r="I33" s="107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0</v>
      </c>
      <c r="J33" s="82">
        <f t="shared" si="3"/>
        <v>0</v>
      </c>
      <c r="K33" s="208" t="s">
        <v>53</v>
      </c>
      <c r="L33" s="227"/>
      <c r="M33" s="185"/>
    </row>
    <row r="34" spans="1:13" ht="9" customHeight="1" thickBot="1">
      <c r="A34" s="178"/>
      <c r="B34" s="210"/>
      <c r="C34" s="210"/>
      <c r="D34" s="51"/>
      <c r="E34" s="51"/>
      <c r="F34" s="51"/>
      <c r="G34" s="273"/>
      <c r="H34" s="51"/>
      <c r="I34" s="51"/>
      <c r="J34" s="51"/>
      <c r="K34" s="184"/>
      <c r="L34" s="184"/>
      <c r="M34" s="185"/>
    </row>
    <row r="35" spans="1:13" ht="30" customHeight="1" thickBot="1">
      <c r="A35" s="228" t="s">
        <v>54</v>
      </c>
      <c r="B35" s="179"/>
      <c r="C35" s="179"/>
      <c r="D35" s="22">
        <f>SUM(D36:D37)</f>
        <v>-2279</v>
      </c>
      <c r="E35" s="34">
        <f>SUM(E36:E37)</f>
        <v>-191</v>
      </c>
      <c r="F35" s="24">
        <f>SUM(F36:F37)</f>
        <v>-2470</v>
      </c>
      <c r="G35" s="110"/>
      <c r="H35" s="23">
        <f>SUM(H36:H37)</f>
        <v>-3956</v>
      </c>
      <c r="I35" s="34">
        <f>SUM(I36:I37)</f>
        <v>-191</v>
      </c>
      <c r="J35" s="24">
        <f>SUM(J36:J37)</f>
        <v>-4147</v>
      </c>
      <c r="K35" s="180"/>
      <c r="L35" s="180"/>
      <c r="M35" s="182" t="s">
        <v>55</v>
      </c>
    </row>
    <row r="36" spans="1:13" ht="30" customHeight="1">
      <c r="A36" s="178"/>
      <c r="B36" s="187" t="s">
        <v>56</v>
      </c>
      <c r="C36" s="188"/>
      <c r="D36" s="67">
        <f>'[2]LSOkt'!$D$36</f>
        <v>-22</v>
      </c>
      <c r="E36" s="68">
        <f>'[2]LSOkt'!$E$36</f>
        <v>-187</v>
      </c>
      <c r="F36" s="41">
        <f>SUM(D36:E36)</f>
        <v>-209</v>
      </c>
      <c r="G36" s="111"/>
      <c r="H36" s="67">
        <f>'[3]VorigeOntvangstesVersendings'!$B$37</f>
        <v>-1699</v>
      </c>
      <c r="I36" s="68">
        <f>'[3]VorigeOntvangstesVersendings'!$C$37</f>
        <v>-187</v>
      </c>
      <c r="J36" s="41">
        <f>+H36+I36</f>
        <v>-1886</v>
      </c>
      <c r="K36" s="189"/>
      <c r="L36" s="190" t="s">
        <v>57</v>
      </c>
      <c r="M36" s="185"/>
    </row>
    <row r="37" spans="1:13" ht="30" customHeight="1" thickBot="1">
      <c r="A37" s="178"/>
      <c r="B37" s="207" t="s">
        <v>94</v>
      </c>
      <c r="C37" s="229"/>
      <c r="D37" s="46">
        <f>'[2]LSOkt'!$D$37</f>
        <v>-2257</v>
      </c>
      <c r="E37" s="107">
        <f>'[2]LSOkt'!$E$37</f>
        <v>-4</v>
      </c>
      <c r="F37" s="48">
        <f>SUM(D37:E37)</f>
        <v>-2261</v>
      </c>
      <c r="G37" s="113"/>
      <c r="H37" s="46">
        <f>'[3]VorigeSurplusTekort'!$B$36</f>
        <v>-2257</v>
      </c>
      <c r="I37" s="107">
        <f>'[3]VorigeSurplusTekort'!$C$36</f>
        <v>-4</v>
      </c>
      <c r="J37" s="48">
        <f>+H37+I37</f>
        <v>-2261</v>
      </c>
      <c r="K37" s="193"/>
      <c r="L37" s="194" t="s">
        <v>95</v>
      </c>
      <c r="M37" s="185"/>
    </row>
    <row r="38" spans="1:13" ht="9" customHeight="1" thickBot="1">
      <c r="A38" s="178"/>
      <c r="B38" s="224"/>
      <c r="C38" s="183"/>
      <c r="D38" s="85"/>
      <c r="E38" s="85"/>
      <c r="F38" s="85"/>
      <c r="G38" s="114"/>
      <c r="H38" s="85"/>
      <c r="I38" s="85"/>
      <c r="J38" s="85"/>
      <c r="K38" s="230"/>
      <c r="L38" s="230"/>
      <c r="M38" s="185"/>
    </row>
    <row r="39" spans="1:13" ht="30" customHeight="1" thickBot="1">
      <c r="A39" s="178"/>
      <c r="B39" s="183"/>
      <c r="C39" s="183"/>
      <c r="D39" s="346" t="str">
        <f>'[1]Datums'!$C$58</f>
        <v>31 Oct/Okt 2014</v>
      </c>
      <c r="E39" s="347"/>
      <c r="F39" s="347"/>
      <c r="G39" s="116"/>
      <c r="H39" s="346" t="str">
        <f>'[1]Datums'!$D$58</f>
        <v>31 Oct/Okt 2013</v>
      </c>
      <c r="I39" s="347"/>
      <c r="J39" s="347"/>
      <c r="K39" s="184"/>
      <c r="L39" s="184"/>
      <c r="M39" s="185"/>
    </row>
    <row r="40" spans="1:13" ht="30" customHeight="1" thickBot="1">
      <c r="A40" s="231" t="s">
        <v>60</v>
      </c>
      <c r="B40" s="232"/>
      <c r="C40" s="232"/>
      <c r="D40" s="22">
        <f>D11+D13-D17-D27-D35</f>
        <v>814469</v>
      </c>
      <c r="E40" s="23">
        <f>E11+E13-E17-E27-E35</f>
        <v>6080</v>
      </c>
      <c r="F40" s="25">
        <f>SUM(D40:E40)</f>
        <v>820549</v>
      </c>
      <c r="G40" s="291">
        <f>_xlfn.IFERROR((F40-J40)/J40*100,IF(F40-J40=0,0,100))</f>
        <v>52.679310723383196</v>
      </c>
      <c r="H40" s="53">
        <f>H11+H13-H17-H27-H35</f>
        <v>530607</v>
      </c>
      <c r="I40" s="34">
        <f>+I11+I13-I17-I27-I35</f>
        <v>6826</v>
      </c>
      <c r="J40" s="25">
        <f>SUM(H40:I40)</f>
        <v>537433</v>
      </c>
      <c r="K40" s="233"/>
      <c r="L40" s="233"/>
      <c r="M40" s="234" t="s">
        <v>61</v>
      </c>
    </row>
    <row r="41" spans="1:13" ht="9" customHeight="1" thickBot="1">
      <c r="A41" s="235"/>
      <c r="B41" s="175"/>
      <c r="C41" s="175"/>
      <c r="D41" s="309"/>
      <c r="E41" s="309"/>
      <c r="F41" s="309"/>
      <c r="G41" s="30"/>
      <c r="H41" s="309"/>
      <c r="I41" s="309"/>
      <c r="J41" s="309"/>
      <c r="K41" s="343"/>
      <c r="L41" s="343"/>
      <c r="M41" s="185"/>
    </row>
    <row r="42" spans="1:13" ht="30" customHeight="1" thickBot="1">
      <c r="A42" s="228" t="s">
        <v>62</v>
      </c>
      <c r="B42" s="179"/>
      <c r="C42" s="179"/>
      <c r="D42" s="53">
        <f>SUM(D43:D44)</f>
        <v>814469</v>
      </c>
      <c r="E42" s="34">
        <f>SUM(E43:E44)</f>
        <v>6080</v>
      </c>
      <c r="F42" s="24">
        <f>SUM(F43:F44)</f>
        <v>820549</v>
      </c>
      <c r="G42" s="291">
        <f>_xlfn.IFERROR((F42-J42)/J42*100,IF(F42-J42=0,0,100))</f>
        <v>0.05243141544092991</v>
      </c>
      <c r="H42" s="53">
        <f>SUM(H43:H44)</f>
        <v>814039</v>
      </c>
      <c r="I42" s="34">
        <f>SUM(I43:I44)</f>
        <v>6080</v>
      </c>
      <c r="J42" s="25">
        <f>SUM(H42:I42)</f>
        <v>820119</v>
      </c>
      <c r="K42" s="180"/>
      <c r="L42" s="180"/>
      <c r="M42" s="182" t="s">
        <v>63</v>
      </c>
    </row>
    <row r="43" spans="1:13" ht="30" customHeight="1">
      <c r="A43" s="236"/>
      <c r="B43" s="187" t="s">
        <v>64</v>
      </c>
      <c r="C43" s="188"/>
      <c r="D43" s="39">
        <f>'[2]LSOkt'!$D$43</f>
        <v>539922</v>
      </c>
      <c r="E43" s="68">
        <f>'[2]LSOkt'!$E$43</f>
        <v>5947</v>
      </c>
      <c r="F43" s="69">
        <f>SUM(D43:E43)</f>
        <v>545869</v>
      </c>
      <c r="G43" s="292">
        <f>_xlfn.IFERROR((F43-J43)/J43*100,IF(F43-J43=0,0,100))</f>
        <v>-0.1379378474744019</v>
      </c>
      <c r="H43" s="68">
        <f>'[3]VorigeEindVoorraadOpberg'!$B$14</f>
        <v>540676</v>
      </c>
      <c r="I43" s="68">
        <f>'[3]VorigeEindVoorraadOpberg'!$C$14</f>
        <v>5947</v>
      </c>
      <c r="J43" s="69">
        <f>SUM(H43:I43)</f>
        <v>546623</v>
      </c>
      <c r="K43" s="189"/>
      <c r="L43" s="190" t="s">
        <v>65</v>
      </c>
      <c r="M43" s="185"/>
    </row>
    <row r="44" spans="1:13" ht="30" customHeight="1" thickBot="1">
      <c r="A44" s="236"/>
      <c r="B44" s="207" t="s">
        <v>66</v>
      </c>
      <c r="C44" s="229"/>
      <c r="D44" s="46">
        <f>'[2]LSOkt'!$D$44</f>
        <v>274547</v>
      </c>
      <c r="E44" s="47">
        <f>'[2]LSOkt'!$E$44</f>
        <v>133</v>
      </c>
      <c r="F44" s="48">
        <f>SUM(D44:E44)</f>
        <v>274680</v>
      </c>
      <c r="G44" s="272">
        <f>_xlfn.IFERROR((F44-J44)/J44*100,IF(F44-J44=0,0,100))</f>
        <v>0.43291309562114255</v>
      </c>
      <c r="H44" s="46">
        <f>'[3]VorigeEindVoorraadVerwerk'!$B$14</f>
        <v>273363</v>
      </c>
      <c r="I44" s="47">
        <f>'[3]VorigeEindVoorraadVerwerk'!$C$14</f>
        <v>133</v>
      </c>
      <c r="J44" s="48">
        <f>SUM(H44:I44)</f>
        <v>273496</v>
      </c>
      <c r="K44" s="193"/>
      <c r="L44" s="194" t="s">
        <v>67</v>
      </c>
      <c r="M44" s="185"/>
    </row>
    <row r="45" spans="1:13" ht="9" customHeight="1" thickBot="1">
      <c r="A45" s="231"/>
      <c r="B45" s="232"/>
      <c r="C45" s="232"/>
      <c r="D45" s="123"/>
      <c r="E45" s="123"/>
      <c r="F45" s="123"/>
      <c r="G45" s="123"/>
      <c r="H45" s="123"/>
      <c r="I45" s="123"/>
      <c r="J45" s="123"/>
      <c r="K45" s="233"/>
      <c r="L45" s="233"/>
      <c r="M45" s="237"/>
    </row>
    <row r="46" spans="1:13" ht="30" customHeight="1">
      <c r="A46" s="238" t="s">
        <v>68</v>
      </c>
      <c r="B46" s="239"/>
      <c r="C46" s="239"/>
      <c r="D46" s="128"/>
      <c r="E46" s="129"/>
      <c r="F46" s="130" t="s">
        <v>23</v>
      </c>
      <c r="G46" s="240"/>
      <c r="H46" s="128"/>
      <c r="I46" s="129"/>
      <c r="J46" s="130"/>
      <c r="K46" s="175"/>
      <c r="L46" s="175"/>
      <c r="M46" s="241" t="s">
        <v>69</v>
      </c>
    </row>
    <row r="47" spans="1:13" ht="30" customHeight="1">
      <c r="A47" s="228" t="s">
        <v>70</v>
      </c>
      <c r="B47" s="210"/>
      <c r="C47" s="210"/>
      <c r="D47" s="133"/>
      <c r="E47" s="134"/>
      <c r="F47" s="135"/>
      <c r="G47" s="242"/>
      <c r="H47" s="133"/>
      <c r="I47" s="134"/>
      <c r="J47" s="135"/>
      <c r="K47" s="183"/>
      <c r="L47" s="183"/>
      <c r="M47" s="182" t="s">
        <v>71</v>
      </c>
    </row>
    <row r="48" spans="1:13" ht="30" customHeight="1">
      <c r="A48" s="243"/>
      <c r="B48" s="210" t="s">
        <v>72</v>
      </c>
      <c r="C48" s="210"/>
      <c r="D48" s="138">
        <f>'[2]LSOkt'!$D$47</f>
        <v>3881</v>
      </c>
      <c r="E48" s="134">
        <f>'[2]LSOkt'!$E$47</f>
        <v>0</v>
      </c>
      <c r="F48" s="139">
        <f>SUM(D48:E48)</f>
        <v>3881</v>
      </c>
      <c r="G48" s="244"/>
      <c r="H48" s="138">
        <f>'[5]Opsom'!$D$31</f>
        <v>7404</v>
      </c>
      <c r="I48" s="134">
        <f>'[5]Opsom'!$E$31</f>
        <v>0</v>
      </c>
      <c r="J48" s="135">
        <f>SUM(H48:I48)</f>
        <v>7404</v>
      </c>
      <c r="K48" s="183"/>
      <c r="L48" s="184" t="s">
        <v>73</v>
      </c>
      <c r="M48" s="185"/>
    </row>
    <row r="49" spans="1:13" ht="30" customHeight="1">
      <c r="A49" s="243"/>
      <c r="B49" s="210" t="s">
        <v>96</v>
      </c>
      <c r="C49" s="210"/>
      <c r="D49" s="138">
        <f>'[2]LSOkt'!$D$48</f>
        <v>29703</v>
      </c>
      <c r="E49" s="134">
        <f>'[2]LSOkt'!$E$48</f>
        <v>0</v>
      </c>
      <c r="F49" s="139">
        <f>SUM(D49:E49)</f>
        <v>29703</v>
      </c>
      <c r="G49" s="244"/>
      <c r="H49" s="138">
        <f>'[5]Opsom'!$D$32</f>
        <v>11548</v>
      </c>
      <c r="I49" s="134">
        <f>'[5]Opsom'!$E$32</f>
        <v>0</v>
      </c>
      <c r="J49" s="135">
        <f>SUM(H49:I49)</f>
        <v>11548</v>
      </c>
      <c r="K49" s="183"/>
      <c r="L49" s="184" t="s">
        <v>97</v>
      </c>
      <c r="M49" s="185"/>
    </row>
    <row r="50" spans="1:13" ht="30" customHeight="1">
      <c r="A50" s="243"/>
      <c r="B50" s="210" t="s">
        <v>76</v>
      </c>
      <c r="C50" s="210"/>
      <c r="D50" s="138">
        <f>'[2]LSOkt'!$D$49</f>
        <v>21237</v>
      </c>
      <c r="E50" s="134">
        <f>'[2]LSOkt'!$E$49</f>
        <v>0</v>
      </c>
      <c r="F50" s="139">
        <f>SUM(D50:E50)</f>
        <v>21237</v>
      </c>
      <c r="G50" s="244"/>
      <c r="H50" s="138">
        <f>'[5]Opsom'!$D$33</f>
        <v>11141</v>
      </c>
      <c r="I50" s="134">
        <f>'[5]Opsom'!$E$33</f>
        <v>0</v>
      </c>
      <c r="J50" s="135">
        <f>SUM(H50:I50)</f>
        <v>11141</v>
      </c>
      <c r="K50" s="183"/>
      <c r="L50" s="184" t="s">
        <v>77</v>
      </c>
      <c r="M50" s="185"/>
    </row>
    <row r="51" spans="1:13" ht="30" customHeight="1">
      <c r="A51" s="245" t="s">
        <v>23</v>
      </c>
      <c r="B51" s="210" t="s">
        <v>78</v>
      </c>
      <c r="C51" s="210"/>
      <c r="D51" s="138">
        <f>'[2]LSOkt'!$D$50</f>
        <v>0</v>
      </c>
      <c r="E51" s="142">
        <f>'[2]LSOkt'!$E$50</f>
        <v>0</v>
      </c>
      <c r="F51" s="139">
        <f>SUM(D51:E51)</f>
        <v>0</v>
      </c>
      <c r="G51" s="246"/>
      <c r="H51" s="138">
        <f>'[5]Opsom'!$D$34</f>
        <v>-129</v>
      </c>
      <c r="I51" s="142">
        <f>'[5]Opsom'!$E$34</f>
        <v>0</v>
      </c>
      <c r="J51" s="135">
        <f>SUM(H51:I51)</f>
        <v>-129</v>
      </c>
      <c r="K51" s="183"/>
      <c r="L51" s="184" t="s">
        <v>79</v>
      </c>
      <c r="M51" s="185"/>
    </row>
    <row r="52" spans="1:13" ht="30" customHeight="1" thickBot="1">
      <c r="A52" s="247"/>
      <c r="B52" s="248" t="s">
        <v>80</v>
      </c>
      <c r="C52" s="248"/>
      <c r="D52" s="249">
        <f>D48+D49-D50-D51</f>
        <v>12347</v>
      </c>
      <c r="E52" s="148">
        <f>E48+E49-E50-E51</f>
        <v>0</v>
      </c>
      <c r="F52" s="148">
        <f>SUM(D52:E52)</f>
        <v>12347</v>
      </c>
      <c r="G52" s="250"/>
      <c r="H52" s="148">
        <f>+H48+H49-H50-H51</f>
        <v>7940</v>
      </c>
      <c r="I52" s="148">
        <f>I48+I49-I50-I51</f>
        <v>0</v>
      </c>
      <c r="J52" s="149">
        <f>SUM(H52:I52)</f>
        <v>7940</v>
      </c>
      <c r="K52" s="251"/>
      <c r="L52" s="252" t="s">
        <v>98</v>
      </c>
      <c r="M52" s="237"/>
    </row>
    <row r="53" spans="1:13" ht="30" customHeight="1">
      <c r="A53" s="245"/>
      <c r="B53" s="210"/>
      <c r="C53" s="210"/>
      <c r="D53" s="175"/>
      <c r="E53" s="175"/>
      <c r="F53" s="301" t="str">
        <f>'[1]KS Afr Notas'!$B$9</f>
        <v>Producer deliveries directly from farms (ton):</v>
      </c>
      <c r="G53" s="253" t="s">
        <v>99</v>
      </c>
      <c r="H53" s="344" t="str">
        <f>'[1]KS Afr Notas'!$B$20</f>
        <v>Produsentelewerings direk vanaf plase (ton):</v>
      </c>
      <c r="I53" s="344"/>
      <c r="J53" s="344"/>
      <c r="K53" s="344"/>
      <c r="L53" s="344"/>
      <c r="M53" s="345"/>
    </row>
    <row r="54" spans="1:13" ht="30" customHeight="1">
      <c r="A54" s="294"/>
      <c r="B54" s="295"/>
      <c r="C54" s="295"/>
      <c r="D54" s="296"/>
      <c r="E54" s="293"/>
      <c r="F54" s="297" t="str">
        <f>'[1]KS Afr Notas'!$B$10</f>
        <v>August 2013</v>
      </c>
      <c r="G54" s="8">
        <f>'[2]LSOkt'!$F$54</f>
        <v>6454</v>
      </c>
      <c r="H54" s="293" t="str">
        <f>'[1]KS Afr Notas'!$B$21</f>
        <v>Augustus 2013</v>
      </c>
      <c r="I54" s="302"/>
      <c r="J54" s="295"/>
      <c r="K54" s="295"/>
      <c r="L54" s="299"/>
      <c r="M54" s="303"/>
    </row>
    <row r="55" spans="1:13" ht="30" customHeight="1">
      <c r="A55" s="298"/>
      <c r="B55" s="161"/>
      <c r="C55" s="161"/>
      <c r="D55" s="299"/>
      <c r="E55" s="293"/>
      <c r="F55" s="297" t="str">
        <f>'[1]KS Afr Notas'!$B$11</f>
        <v>September 2013</v>
      </c>
      <c r="G55" s="8">
        <f>'[2]LSOkt'!$F$55</f>
        <v>2264</v>
      </c>
      <c r="H55" s="293" t="str">
        <f>'[1]KS Afr Notas'!$B$22</f>
        <v>September 2013</v>
      </c>
      <c r="I55" s="302"/>
      <c r="J55" s="295"/>
      <c r="K55" s="295"/>
      <c r="L55" s="304"/>
      <c r="M55" s="305"/>
    </row>
    <row r="56" spans="1:13" ht="30" customHeight="1">
      <c r="A56" s="298"/>
      <c r="B56" s="161"/>
      <c r="C56" s="161"/>
      <c r="D56" s="299"/>
      <c r="E56" s="300"/>
      <c r="F56" s="297" t="str">
        <f>'[1]Datums'!$E$25</f>
        <v>October 2014</v>
      </c>
      <c r="G56" s="8">
        <f>'[2]LSOkt'!$F$56</f>
        <v>337425</v>
      </c>
      <c r="H56" s="300" t="str">
        <f>'[1]Datums'!$B$25</f>
        <v>Oktober 2014</v>
      </c>
      <c r="I56" s="302"/>
      <c r="J56" s="295"/>
      <c r="K56" s="295"/>
      <c r="L56" s="304"/>
      <c r="M56" s="305"/>
    </row>
    <row r="57" spans="1:13" ht="30" customHeight="1">
      <c r="A57" s="348" t="str">
        <f>'[1]KS Afr Notas'!$B$13</f>
        <v>Wheat equivalent.</v>
      </c>
      <c r="B57" s="349"/>
      <c r="C57" s="349"/>
      <c r="D57" s="349"/>
      <c r="E57" s="349"/>
      <c r="F57" s="349"/>
      <c r="G57" s="254" t="s">
        <v>83</v>
      </c>
      <c r="H57" s="344" t="str">
        <f>'[1]KS Afr Notas'!$B$24</f>
        <v>Koring ekwivalent.</v>
      </c>
      <c r="I57" s="344"/>
      <c r="J57" s="344"/>
      <c r="K57" s="344"/>
      <c r="L57" s="344"/>
      <c r="M57" s="345"/>
    </row>
    <row r="58" spans="1:13" ht="30" customHeight="1">
      <c r="A58" s="348" t="str">
        <f>'[1]KS Afr Notas'!$B$14</f>
        <v>Processed for drinkable alcohol included.</v>
      </c>
      <c r="B58" s="349"/>
      <c r="C58" s="349"/>
      <c r="D58" s="349"/>
      <c r="E58" s="349"/>
      <c r="F58" s="349"/>
      <c r="G58" s="255" t="s">
        <v>86</v>
      </c>
      <c r="H58" s="344" t="str">
        <f>'[1]KS Afr Notas'!$B$25</f>
        <v>Verwerk vir drinkbare alkohol ingesluit.</v>
      </c>
      <c r="I58" s="344"/>
      <c r="J58" s="344"/>
      <c r="K58" s="344"/>
      <c r="L58" s="344"/>
      <c r="M58" s="345"/>
    </row>
    <row r="59" spans="1:19" ht="30" customHeight="1">
      <c r="A59" s="348" t="str">
        <f>'[1]KS Afr Notas'!$B$16</f>
        <v>Due to certain market conditions, wheat suitable for human consumption has been used for animal feed.</v>
      </c>
      <c r="B59" s="349"/>
      <c r="C59" s="349"/>
      <c r="D59" s="349"/>
      <c r="E59" s="349"/>
      <c r="F59" s="349"/>
      <c r="G59" s="255" t="s">
        <v>89</v>
      </c>
      <c r="H59" s="344" t="str">
        <f>'[1]KS Afr Notas'!$B$27</f>
        <v>As gevolg van markfaktore is koring wat geskik is vir menslike verbruik in die veevoermark aangewend.</v>
      </c>
      <c r="I59" s="344"/>
      <c r="J59" s="344"/>
      <c r="K59" s="344"/>
      <c r="L59" s="344"/>
      <c r="M59" s="345"/>
      <c r="N59" s="210"/>
      <c r="O59" s="210"/>
      <c r="P59" s="210"/>
      <c r="Q59" s="183"/>
      <c r="R59" s="183"/>
      <c r="S59" s="184"/>
    </row>
    <row r="60" spans="1:19" ht="30" customHeight="1">
      <c r="A60" s="348" t="str">
        <f>'[1]KS Afr Notas'!$B$17</f>
        <v>Also refer to general footnotes.</v>
      </c>
      <c r="B60" s="349"/>
      <c r="C60" s="349"/>
      <c r="D60" s="349"/>
      <c r="E60" s="349"/>
      <c r="F60" s="349"/>
      <c r="G60" s="255" t="s">
        <v>92</v>
      </c>
      <c r="H60" s="344" t="str">
        <f>'[1]KS Afr Notas'!$B$28</f>
        <v>Verwys ook na algemene voetnotas.</v>
      </c>
      <c r="I60" s="344"/>
      <c r="J60" s="344"/>
      <c r="K60" s="344"/>
      <c r="L60" s="344"/>
      <c r="M60" s="345"/>
      <c r="N60" s="210"/>
      <c r="O60" s="210"/>
      <c r="P60" s="210"/>
      <c r="Q60" s="183"/>
      <c r="R60" s="183"/>
      <c r="S60" s="184"/>
    </row>
    <row r="61" spans="1:13" ht="9" customHeight="1" thickBot="1">
      <c r="A61" s="256"/>
      <c r="B61" s="257"/>
      <c r="C61" s="257"/>
      <c r="D61" s="258"/>
      <c r="E61" s="258"/>
      <c r="F61" s="258"/>
      <c r="G61" s="258"/>
      <c r="H61" s="258"/>
      <c r="I61" s="258"/>
      <c r="J61" s="258"/>
      <c r="K61" s="259"/>
      <c r="L61" s="259"/>
      <c r="M61" s="260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SheetLayoutView="40" zoomScalePageLayoutView="0" workbookViewId="0" topLeftCell="A1">
      <selection activeCell="D9" sqref="D9"/>
    </sheetView>
  </sheetViews>
  <sheetFormatPr defaultColWidth="9.140625" defaultRowHeight="15"/>
  <cols>
    <col min="1" max="2" width="2.421875" style="1" customWidth="1"/>
    <col min="3" max="3" width="65.00390625" style="1" customWidth="1"/>
    <col min="4" max="12" width="22.140625" style="155" customWidth="1"/>
    <col min="13" max="13" width="22.140625" style="156" customWidth="1"/>
    <col min="14" max="16" width="22.140625" style="155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9"/>
      <c r="B1" s="370"/>
      <c r="C1" s="371"/>
      <c r="D1" s="350" t="s">
        <v>0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  <c r="Q1" s="350" t="s">
        <v>100</v>
      </c>
      <c r="R1" s="351"/>
      <c r="S1" s="352"/>
    </row>
    <row r="2" spans="1:19" ht="30">
      <c r="A2" s="372"/>
      <c r="B2" s="373"/>
      <c r="C2" s="374"/>
      <c r="D2" s="356" t="s">
        <v>1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3"/>
      <c r="R2" s="354"/>
      <c r="S2" s="355"/>
    </row>
    <row r="3" spans="1:19" ht="30">
      <c r="A3" s="372"/>
      <c r="B3" s="373"/>
      <c r="C3" s="374"/>
      <c r="D3" s="356" t="s">
        <v>101</v>
      </c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3"/>
      <c r="R3" s="354"/>
      <c r="S3" s="355"/>
    </row>
    <row r="4" spans="1:19" ht="30.75" thickBot="1">
      <c r="A4" s="372"/>
      <c r="B4" s="373"/>
      <c r="C4" s="374"/>
      <c r="D4" s="358" t="s">
        <v>2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3"/>
      <c r="R4" s="354"/>
      <c r="S4" s="355"/>
    </row>
    <row r="5" spans="1:19" ht="30">
      <c r="A5" s="372"/>
      <c r="B5" s="373"/>
      <c r="C5" s="374"/>
      <c r="D5" s="360"/>
      <c r="E5" s="361"/>
      <c r="F5" s="362"/>
      <c r="G5" s="360" t="s">
        <v>102</v>
      </c>
      <c r="H5" s="361"/>
      <c r="I5" s="362"/>
      <c r="J5" s="363" t="s">
        <v>3</v>
      </c>
      <c r="K5" s="361"/>
      <c r="L5" s="361"/>
      <c r="M5" s="2"/>
      <c r="N5" s="363" t="s">
        <v>3</v>
      </c>
      <c r="O5" s="361"/>
      <c r="P5" s="362"/>
      <c r="Q5" s="364">
        <v>42030</v>
      </c>
      <c r="R5" s="325"/>
      <c r="S5" s="326"/>
    </row>
    <row r="6" spans="1:19" ht="30.75" thickBot="1">
      <c r="A6" s="372"/>
      <c r="B6" s="373"/>
      <c r="C6" s="374"/>
      <c r="D6" s="378" t="s">
        <v>103</v>
      </c>
      <c r="E6" s="379"/>
      <c r="F6" s="380"/>
      <c r="G6" s="381" t="s">
        <v>4</v>
      </c>
      <c r="H6" s="379"/>
      <c r="I6" s="380"/>
      <c r="J6" s="381" t="s">
        <v>104</v>
      </c>
      <c r="K6" s="379"/>
      <c r="L6" s="379"/>
      <c r="M6" s="3"/>
      <c r="N6" s="381" t="s">
        <v>105</v>
      </c>
      <c r="O6" s="379"/>
      <c r="P6" s="379"/>
      <c r="Q6" s="324"/>
      <c r="R6" s="325"/>
      <c r="S6" s="326"/>
    </row>
    <row r="7" spans="1:19" ht="30">
      <c r="A7" s="372"/>
      <c r="B7" s="373"/>
      <c r="C7" s="374"/>
      <c r="D7" s="4" t="s">
        <v>5</v>
      </c>
      <c r="E7" s="4" t="s">
        <v>6</v>
      </c>
      <c r="F7" s="5" t="s">
        <v>7</v>
      </c>
      <c r="G7" s="6" t="s">
        <v>5</v>
      </c>
      <c r="H7" s="7" t="s">
        <v>6</v>
      </c>
      <c r="I7" s="5" t="s">
        <v>7</v>
      </c>
      <c r="J7" s="6" t="s">
        <v>5</v>
      </c>
      <c r="K7" s="7" t="s">
        <v>6</v>
      </c>
      <c r="L7" s="8" t="s">
        <v>7</v>
      </c>
      <c r="M7" s="9" t="s">
        <v>8</v>
      </c>
      <c r="N7" s="6" t="s">
        <v>5</v>
      </c>
      <c r="O7" s="7" t="s">
        <v>6</v>
      </c>
      <c r="P7" s="5" t="s">
        <v>7</v>
      </c>
      <c r="Q7" s="324"/>
      <c r="R7" s="325"/>
      <c r="S7" s="326"/>
    </row>
    <row r="8" spans="1:19" ht="30.75" thickBot="1">
      <c r="A8" s="375"/>
      <c r="B8" s="376"/>
      <c r="C8" s="377"/>
      <c r="D8" s="10" t="s">
        <v>9</v>
      </c>
      <c r="E8" s="10" t="s">
        <v>10</v>
      </c>
      <c r="F8" s="269" t="s">
        <v>11</v>
      </c>
      <c r="G8" s="11" t="s">
        <v>9</v>
      </c>
      <c r="H8" s="10" t="s">
        <v>10</v>
      </c>
      <c r="I8" s="269" t="s">
        <v>11</v>
      </c>
      <c r="J8" s="11" t="s">
        <v>9</v>
      </c>
      <c r="K8" s="10" t="s">
        <v>10</v>
      </c>
      <c r="L8" s="268" t="s">
        <v>11</v>
      </c>
      <c r="M8" s="12" t="s">
        <v>12</v>
      </c>
      <c r="N8" s="11" t="s">
        <v>9</v>
      </c>
      <c r="O8" s="10" t="s">
        <v>10</v>
      </c>
      <c r="P8" s="269" t="s">
        <v>11</v>
      </c>
      <c r="Q8" s="338"/>
      <c r="R8" s="339"/>
      <c r="S8" s="340"/>
    </row>
    <row r="9" spans="1:19" ht="30.75" thickBot="1">
      <c r="A9" s="13"/>
      <c r="B9" s="266"/>
      <c r="C9" s="266"/>
      <c r="D9" s="267"/>
      <c r="E9" s="267"/>
      <c r="F9" s="13"/>
      <c r="G9" s="267"/>
      <c r="H9" s="267"/>
      <c r="I9" s="267"/>
      <c r="J9" s="267"/>
      <c r="K9" s="267"/>
      <c r="L9" s="13"/>
      <c r="M9" s="14"/>
      <c r="N9" s="267"/>
      <c r="O9" s="267"/>
      <c r="P9" s="267"/>
      <c r="Q9" s="266"/>
      <c r="R9" s="266"/>
      <c r="S9" s="15"/>
    </row>
    <row r="10" spans="1:19" ht="30.75" thickBot="1">
      <c r="A10" s="16"/>
      <c r="B10" s="17"/>
      <c r="C10" s="17"/>
      <c r="D10" s="365" t="s">
        <v>106</v>
      </c>
      <c r="E10" s="366"/>
      <c r="F10" s="367"/>
      <c r="G10" s="365" t="s">
        <v>107</v>
      </c>
      <c r="H10" s="366"/>
      <c r="I10" s="367"/>
      <c r="J10" s="368" t="s">
        <v>108</v>
      </c>
      <c r="K10" s="366"/>
      <c r="L10" s="366"/>
      <c r="M10" s="18"/>
      <c r="N10" s="368" t="s">
        <v>109</v>
      </c>
      <c r="O10" s="366"/>
      <c r="P10" s="367"/>
      <c r="Q10" s="17"/>
      <c r="R10" s="17"/>
      <c r="S10" s="19"/>
    </row>
    <row r="11" spans="1:19" ht="30.75" thickBot="1">
      <c r="A11" s="20" t="s">
        <v>13</v>
      </c>
      <c r="B11" s="21"/>
      <c r="C11" s="21"/>
      <c r="D11" s="22">
        <v>814469</v>
      </c>
      <c r="E11" s="23">
        <v>6080</v>
      </c>
      <c r="F11" s="24">
        <v>820549</v>
      </c>
      <c r="G11" s="23">
        <v>1402595</v>
      </c>
      <c r="H11" s="23">
        <v>6266</v>
      </c>
      <c r="I11" s="24">
        <v>1408861</v>
      </c>
      <c r="J11" s="22">
        <v>482511</v>
      </c>
      <c r="K11" s="23">
        <v>6015</v>
      </c>
      <c r="L11" s="24">
        <v>488526</v>
      </c>
      <c r="M11" s="30">
        <v>-0.14859387678767427</v>
      </c>
      <c r="N11" s="22">
        <v>487597</v>
      </c>
      <c r="O11" s="23">
        <v>1656</v>
      </c>
      <c r="P11" s="25">
        <v>489253</v>
      </c>
      <c r="Q11" s="26"/>
      <c r="R11" s="27"/>
      <c r="S11" s="28" t="s">
        <v>14</v>
      </c>
    </row>
    <row r="12" spans="1:19" ht="30.75" thickBot="1">
      <c r="A12" s="20"/>
      <c r="B12" s="29"/>
      <c r="C12" s="29"/>
      <c r="D12" s="309"/>
      <c r="E12" s="309"/>
      <c r="F12" s="309"/>
      <c r="G12" s="309"/>
      <c r="H12" s="309"/>
      <c r="I12" s="309"/>
      <c r="J12" s="309" t="s">
        <v>110</v>
      </c>
      <c r="K12" s="309"/>
      <c r="L12" s="309"/>
      <c r="M12" s="30"/>
      <c r="N12" s="309" t="s">
        <v>111</v>
      </c>
      <c r="O12" s="309"/>
      <c r="P12" s="309"/>
      <c r="Q12" s="264"/>
      <c r="R12" s="264"/>
      <c r="S12" s="31"/>
    </row>
    <row r="13" spans="1:19" ht="30.75" thickBot="1">
      <c r="A13" s="20" t="s">
        <v>15</v>
      </c>
      <c r="B13" s="32"/>
      <c r="C13" s="32"/>
      <c r="D13" s="33">
        <v>863942</v>
      </c>
      <c r="E13" s="34">
        <v>214</v>
      </c>
      <c r="F13" s="35">
        <v>864156</v>
      </c>
      <c r="G13" s="33">
        <v>621060</v>
      </c>
      <c r="H13" s="34">
        <v>769</v>
      </c>
      <c r="I13" s="35">
        <v>621829</v>
      </c>
      <c r="J13" s="33">
        <v>2089090</v>
      </c>
      <c r="K13" s="34">
        <v>1041</v>
      </c>
      <c r="L13" s="35">
        <v>2090131</v>
      </c>
      <c r="M13" s="270">
        <v>-4.229623723905354</v>
      </c>
      <c r="N13" s="34">
        <v>2169181</v>
      </c>
      <c r="O13" s="36">
        <v>13259</v>
      </c>
      <c r="P13" s="24">
        <v>2182440</v>
      </c>
      <c r="Q13" s="26"/>
      <c r="R13" s="26"/>
      <c r="S13" s="28" t="s">
        <v>16</v>
      </c>
    </row>
    <row r="14" spans="1:19" ht="30">
      <c r="A14" s="20"/>
      <c r="B14" s="37" t="s">
        <v>17</v>
      </c>
      <c r="C14" s="38"/>
      <c r="D14" s="39">
        <v>688458</v>
      </c>
      <c r="E14" s="40">
        <v>214</v>
      </c>
      <c r="F14" s="41">
        <v>688672</v>
      </c>
      <c r="G14" s="39">
        <v>492080</v>
      </c>
      <c r="H14" s="40">
        <v>769</v>
      </c>
      <c r="I14" s="41">
        <v>492849</v>
      </c>
      <c r="J14" s="39">
        <v>1517905</v>
      </c>
      <c r="K14" s="40">
        <v>1041</v>
      </c>
      <c r="L14" s="41">
        <v>1518946</v>
      </c>
      <c r="M14" s="271">
        <v>-4.180200616826403</v>
      </c>
      <c r="N14" s="39">
        <v>1571952</v>
      </c>
      <c r="O14" s="40">
        <v>13259</v>
      </c>
      <c r="P14" s="41">
        <v>1585211</v>
      </c>
      <c r="Q14" s="42"/>
      <c r="R14" s="43" t="s">
        <v>18</v>
      </c>
      <c r="S14" s="31"/>
    </row>
    <row r="15" spans="1:19" ht="30.75" thickBot="1">
      <c r="A15" s="20"/>
      <c r="B15" s="44" t="s">
        <v>19</v>
      </c>
      <c r="C15" s="45"/>
      <c r="D15" s="46">
        <v>175484</v>
      </c>
      <c r="E15" s="47">
        <v>0</v>
      </c>
      <c r="F15" s="48">
        <v>175484</v>
      </c>
      <c r="G15" s="46">
        <v>128980</v>
      </c>
      <c r="H15" s="47">
        <v>0</v>
      </c>
      <c r="I15" s="48">
        <v>128980</v>
      </c>
      <c r="J15" s="46">
        <v>571185</v>
      </c>
      <c r="K15" s="47">
        <v>0</v>
      </c>
      <c r="L15" s="48">
        <v>571185</v>
      </c>
      <c r="M15" s="272">
        <v>-4.360806323872417</v>
      </c>
      <c r="N15" s="46">
        <v>597229</v>
      </c>
      <c r="O15" s="47">
        <v>0</v>
      </c>
      <c r="P15" s="48">
        <v>597229</v>
      </c>
      <c r="Q15" s="49"/>
      <c r="R15" s="50" t="s">
        <v>20</v>
      </c>
      <c r="S15" s="31"/>
    </row>
    <row r="16" spans="1:19" ht="30.75" thickBot="1">
      <c r="A16" s="20"/>
      <c r="B16" s="29"/>
      <c r="C16" s="29"/>
      <c r="D16" s="51"/>
      <c r="E16" s="51"/>
      <c r="F16" s="51" t="s">
        <v>23</v>
      </c>
      <c r="G16" s="51"/>
      <c r="H16" s="51"/>
      <c r="I16" s="51"/>
      <c r="J16" s="51"/>
      <c r="K16" s="51"/>
      <c r="L16" s="51"/>
      <c r="M16" s="273"/>
      <c r="N16" s="51"/>
      <c r="O16" s="51"/>
      <c r="P16" s="51"/>
      <c r="Q16" s="264"/>
      <c r="R16" s="264"/>
      <c r="S16" s="31"/>
    </row>
    <row r="17" spans="1:19" ht="30.75" thickBot="1">
      <c r="A17" s="20" t="s">
        <v>21</v>
      </c>
      <c r="B17" s="52"/>
      <c r="C17" s="32"/>
      <c r="D17" s="53">
        <v>258093</v>
      </c>
      <c r="E17" s="34">
        <v>319</v>
      </c>
      <c r="F17" s="25">
        <v>258412</v>
      </c>
      <c r="G17" s="53">
        <v>261182</v>
      </c>
      <c r="H17" s="34">
        <v>213</v>
      </c>
      <c r="I17" s="25">
        <v>261395</v>
      </c>
      <c r="J17" s="53">
        <v>777674</v>
      </c>
      <c r="K17" s="34">
        <v>716</v>
      </c>
      <c r="L17" s="25">
        <v>778390</v>
      </c>
      <c r="M17" s="116">
        <v>-2.483788849133568</v>
      </c>
      <c r="N17" s="53">
        <v>796748</v>
      </c>
      <c r="O17" s="34">
        <v>1468</v>
      </c>
      <c r="P17" s="24">
        <v>798216</v>
      </c>
      <c r="Q17" s="26"/>
      <c r="R17" s="26"/>
      <c r="S17" s="28" t="s">
        <v>22</v>
      </c>
    </row>
    <row r="18" spans="1:19" ht="30">
      <c r="A18" s="20" t="s">
        <v>23</v>
      </c>
      <c r="B18" s="54" t="s">
        <v>24</v>
      </c>
      <c r="C18" s="55"/>
      <c r="D18" s="56">
        <v>257718</v>
      </c>
      <c r="E18" s="57">
        <v>282</v>
      </c>
      <c r="F18" s="40">
        <v>258000</v>
      </c>
      <c r="G18" s="33">
        <v>260517</v>
      </c>
      <c r="H18" s="57">
        <v>171</v>
      </c>
      <c r="I18" s="40">
        <v>260688</v>
      </c>
      <c r="J18" s="33">
        <v>776382</v>
      </c>
      <c r="K18" s="57">
        <v>622</v>
      </c>
      <c r="L18" s="58">
        <v>777004</v>
      </c>
      <c r="M18" s="274">
        <v>-2.4923920613905746</v>
      </c>
      <c r="N18" s="33">
        <v>795518</v>
      </c>
      <c r="O18" s="57">
        <v>1347</v>
      </c>
      <c r="P18" s="41">
        <v>796865</v>
      </c>
      <c r="Q18" s="59"/>
      <c r="R18" s="60" t="s">
        <v>25</v>
      </c>
      <c r="S18" s="28"/>
    </row>
    <row r="19" spans="1:19" ht="30">
      <c r="A19" s="20"/>
      <c r="B19" s="61"/>
      <c r="C19" s="37" t="s">
        <v>26</v>
      </c>
      <c r="D19" s="62">
        <v>257650</v>
      </c>
      <c r="E19" s="63">
        <v>0</v>
      </c>
      <c r="F19" s="64">
        <v>257650</v>
      </c>
      <c r="G19" s="62">
        <v>260509</v>
      </c>
      <c r="H19" s="63">
        <v>0</v>
      </c>
      <c r="I19" s="64">
        <v>260509</v>
      </c>
      <c r="J19" s="62">
        <v>776270</v>
      </c>
      <c r="K19" s="63">
        <v>0</v>
      </c>
      <c r="L19" s="64">
        <v>776270</v>
      </c>
      <c r="M19" s="275">
        <v>-1.897174458663283</v>
      </c>
      <c r="N19" s="62">
        <v>791282</v>
      </c>
      <c r="O19" s="63">
        <v>0</v>
      </c>
      <c r="P19" s="64">
        <v>791282</v>
      </c>
      <c r="Q19" s="43" t="s">
        <v>27</v>
      </c>
      <c r="R19" s="4"/>
      <c r="S19" s="31"/>
    </row>
    <row r="20" spans="1:19" ht="30">
      <c r="A20" s="20"/>
      <c r="B20" s="65"/>
      <c r="C20" s="66" t="s">
        <v>28</v>
      </c>
      <c r="D20" s="67">
        <v>68</v>
      </c>
      <c r="E20" s="68">
        <v>282</v>
      </c>
      <c r="F20" s="69">
        <v>350</v>
      </c>
      <c r="G20" s="67">
        <v>8</v>
      </c>
      <c r="H20" s="68">
        <v>171</v>
      </c>
      <c r="I20" s="69">
        <v>179</v>
      </c>
      <c r="J20" s="67">
        <v>112</v>
      </c>
      <c r="K20" s="68">
        <v>622</v>
      </c>
      <c r="L20" s="69">
        <v>734</v>
      </c>
      <c r="M20" s="274">
        <v>-86.8482350833184</v>
      </c>
      <c r="N20" s="67">
        <v>4234</v>
      </c>
      <c r="O20" s="68">
        <v>1347</v>
      </c>
      <c r="P20" s="69">
        <v>5581</v>
      </c>
      <c r="Q20" s="70" t="s">
        <v>29</v>
      </c>
      <c r="R20" s="4"/>
      <c r="S20" s="31"/>
    </row>
    <row r="21" spans="1:19" ht="30">
      <c r="A21" s="20"/>
      <c r="B21" s="65"/>
      <c r="C21" s="66" t="s">
        <v>30</v>
      </c>
      <c r="D21" s="67">
        <v>0</v>
      </c>
      <c r="E21" s="68">
        <v>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274">
        <v>-100</v>
      </c>
      <c r="N21" s="67">
        <v>2</v>
      </c>
      <c r="O21" s="68">
        <v>0</v>
      </c>
      <c r="P21" s="69">
        <v>2</v>
      </c>
      <c r="Q21" s="71" t="s">
        <v>31</v>
      </c>
      <c r="R21" s="72"/>
      <c r="S21" s="31"/>
    </row>
    <row r="22" spans="1:19" ht="30">
      <c r="A22" s="20"/>
      <c r="B22" s="65"/>
      <c r="C22" s="73" t="s">
        <v>32</v>
      </c>
      <c r="D22" s="74">
        <v>0</v>
      </c>
      <c r="E22" s="75">
        <v>0</v>
      </c>
      <c r="F22" s="76">
        <v>0</v>
      </c>
      <c r="G22" s="74">
        <v>0</v>
      </c>
      <c r="H22" s="75">
        <v>0</v>
      </c>
      <c r="I22" s="76">
        <v>0</v>
      </c>
      <c r="J22" s="74">
        <v>0</v>
      </c>
      <c r="K22" s="75">
        <v>0</v>
      </c>
      <c r="L22" s="76">
        <v>0</v>
      </c>
      <c r="M22" s="274">
        <v>0</v>
      </c>
      <c r="N22" s="74">
        <v>0</v>
      </c>
      <c r="O22" s="75">
        <v>0</v>
      </c>
      <c r="P22" s="76">
        <v>0</v>
      </c>
      <c r="Q22" s="77" t="s">
        <v>33</v>
      </c>
      <c r="R22" s="72"/>
      <c r="S22" s="31"/>
    </row>
    <row r="23" spans="1:19" ht="30">
      <c r="A23" s="20"/>
      <c r="B23" s="78" t="s">
        <v>34</v>
      </c>
      <c r="C23" s="262"/>
      <c r="D23" s="67">
        <v>121</v>
      </c>
      <c r="E23" s="68">
        <v>0</v>
      </c>
      <c r="F23" s="69">
        <v>121</v>
      </c>
      <c r="G23" s="67">
        <v>414</v>
      </c>
      <c r="H23" s="68">
        <v>0</v>
      </c>
      <c r="I23" s="69">
        <v>414</v>
      </c>
      <c r="J23" s="67">
        <v>691</v>
      </c>
      <c r="K23" s="68">
        <v>0</v>
      </c>
      <c r="L23" s="69">
        <v>691</v>
      </c>
      <c r="M23" s="275">
        <v>-19.837587006960558</v>
      </c>
      <c r="N23" s="67">
        <v>862</v>
      </c>
      <c r="O23" s="68">
        <v>0</v>
      </c>
      <c r="P23" s="69">
        <v>862</v>
      </c>
      <c r="Q23" s="264"/>
      <c r="R23" s="72" t="s">
        <v>35</v>
      </c>
      <c r="S23" s="31"/>
    </row>
    <row r="24" spans="1:19" ht="30">
      <c r="A24" s="20"/>
      <c r="B24" s="78" t="s">
        <v>36</v>
      </c>
      <c r="C24" s="262"/>
      <c r="D24" s="67">
        <v>21</v>
      </c>
      <c r="E24" s="68">
        <v>37</v>
      </c>
      <c r="F24" s="79">
        <v>58</v>
      </c>
      <c r="G24" s="67">
        <v>34</v>
      </c>
      <c r="H24" s="68">
        <v>42</v>
      </c>
      <c r="I24" s="79">
        <v>76</v>
      </c>
      <c r="J24" s="67">
        <v>151</v>
      </c>
      <c r="K24" s="68">
        <v>94</v>
      </c>
      <c r="L24" s="79">
        <v>245</v>
      </c>
      <c r="M24" s="274">
        <v>-49.897750511247445</v>
      </c>
      <c r="N24" s="67">
        <v>368</v>
      </c>
      <c r="O24" s="68">
        <v>121</v>
      </c>
      <c r="P24" s="79">
        <v>489</v>
      </c>
      <c r="Q24" s="265"/>
      <c r="R24" s="72" t="s">
        <v>37</v>
      </c>
      <c r="S24" s="31"/>
    </row>
    <row r="25" spans="1:19" ht="30.75" thickBot="1">
      <c r="A25" s="20"/>
      <c r="B25" s="80" t="s">
        <v>38</v>
      </c>
      <c r="C25" s="81"/>
      <c r="D25" s="46">
        <v>233</v>
      </c>
      <c r="E25" s="47">
        <v>0</v>
      </c>
      <c r="F25" s="82">
        <v>233</v>
      </c>
      <c r="G25" s="46">
        <v>217</v>
      </c>
      <c r="H25" s="47">
        <v>0</v>
      </c>
      <c r="I25" s="82">
        <v>217</v>
      </c>
      <c r="J25" s="46">
        <v>450</v>
      </c>
      <c r="K25" s="47">
        <v>0</v>
      </c>
      <c r="L25" s="82">
        <v>450</v>
      </c>
      <c r="M25" s="272">
        <v>100</v>
      </c>
      <c r="N25" s="46">
        <v>0</v>
      </c>
      <c r="O25" s="47">
        <v>0</v>
      </c>
      <c r="P25" s="82">
        <v>0</v>
      </c>
      <c r="Q25" s="83"/>
      <c r="R25" s="84" t="s">
        <v>39</v>
      </c>
      <c r="S25" s="31"/>
    </row>
    <row r="26" spans="1:19" ht="30.75" thickBot="1">
      <c r="A26" s="20"/>
      <c r="B26" s="21"/>
      <c r="C26" s="21"/>
      <c r="D26" s="85"/>
      <c r="E26" s="85"/>
      <c r="F26" s="85"/>
      <c r="G26" s="85"/>
      <c r="H26" s="85"/>
      <c r="I26" s="85"/>
      <c r="J26" s="85"/>
      <c r="K26" s="85"/>
      <c r="L26" s="85"/>
      <c r="M26" s="276"/>
      <c r="N26" s="85"/>
      <c r="O26" s="85"/>
      <c r="P26" s="85"/>
      <c r="Q26" s="26"/>
      <c r="R26" s="26"/>
      <c r="S26" s="28"/>
    </row>
    <row r="27" spans="1:19" ht="30.75" thickBot="1">
      <c r="A27" s="20" t="s">
        <v>40</v>
      </c>
      <c r="B27" s="32"/>
      <c r="C27" s="32"/>
      <c r="D27" s="33">
        <v>11313</v>
      </c>
      <c r="E27" s="86">
        <v>0</v>
      </c>
      <c r="F27" s="35">
        <v>11313</v>
      </c>
      <c r="G27" s="33">
        <v>32313</v>
      </c>
      <c r="H27" s="86">
        <v>0</v>
      </c>
      <c r="I27" s="35">
        <v>32313</v>
      </c>
      <c r="J27" s="33">
        <v>59636</v>
      </c>
      <c r="K27" s="86">
        <v>0</v>
      </c>
      <c r="L27" s="35">
        <v>59636</v>
      </c>
      <c r="M27" s="277">
        <v>63.15386298971328</v>
      </c>
      <c r="N27" s="33">
        <v>36552</v>
      </c>
      <c r="O27" s="86">
        <v>0</v>
      </c>
      <c r="P27" s="35">
        <v>36552</v>
      </c>
      <c r="Q27" s="29"/>
      <c r="R27" s="29"/>
      <c r="S27" s="87" t="s">
        <v>41</v>
      </c>
    </row>
    <row r="28" spans="1:19" ht="30">
      <c r="A28" s="20"/>
      <c r="B28" s="54" t="s">
        <v>42</v>
      </c>
      <c r="C28" s="88"/>
      <c r="D28" s="33">
        <v>1178</v>
      </c>
      <c r="E28" s="86">
        <v>0</v>
      </c>
      <c r="F28" s="41">
        <v>1178</v>
      </c>
      <c r="G28" s="33">
        <v>1839</v>
      </c>
      <c r="H28" s="86">
        <v>0</v>
      </c>
      <c r="I28" s="41">
        <v>1839</v>
      </c>
      <c r="J28" s="33">
        <v>4934</v>
      </c>
      <c r="K28" s="86">
        <v>0</v>
      </c>
      <c r="L28" s="41">
        <v>4934</v>
      </c>
      <c r="M28" s="111">
        <v>7.8941613820249295</v>
      </c>
      <c r="N28" s="33">
        <v>4573</v>
      </c>
      <c r="O28" s="86">
        <v>0</v>
      </c>
      <c r="P28" s="41">
        <v>4573</v>
      </c>
      <c r="Q28" s="89"/>
      <c r="R28" s="60" t="s">
        <v>43</v>
      </c>
      <c r="S28" s="28"/>
    </row>
    <row r="29" spans="1:19" ht="30">
      <c r="A29" s="20"/>
      <c r="B29" s="90"/>
      <c r="C29" s="91" t="s">
        <v>44</v>
      </c>
      <c r="D29" s="92">
        <v>1178</v>
      </c>
      <c r="E29" s="93">
        <v>0</v>
      </c>
      <c r="F29" s="94">
        <v>1178</v>
      </c>
      <c r="G29" s="92">
        <v>1839</v>
      </c>
      <c r="H29" s="93">
        <v>0</v>
      </c>
      <c r="I29" s="94">
        <v>1839</v>
      </c>
      <c r="J29" s="92">
        <v>4934</v>
      </c>
      <c r="K29" s="93">
        <v>0</v>
      </c>
      <c r="L29" s="94">
        <v>4934</v>
      </c>
      <c r="M29" s="278">
        <v>7.8941613820249295</v>
      </c>
      <c r="N29" s="92">
        <v>4573</v>
      </c>
      <c r="O29" s="93">
        <v>0</v>
      </c>
      <c r="P29" s="94">
        <v>4573</v>
      </c>
      <c r="Q29" s="95" t="s">
        <v>45</v>
      </c>
      <c r="R29" s="70"/>
      <c r="S29" s="31"/>
    </row>
    <row r="30" spans="1:19" ht="30">
      <c r="A30" s="20"/>
      <c r="B30" s="90"/>
      <c r="C30" s="96" t="s">
        <v>46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</v>
      </c>
      <c r="K30" s="98">
        <v>0</v>
      </c>
      <c r="L30" s="99">
        <v>0</v>
      </c>
      <c r="M30" s="143">
        <v>0</v>
      </c>
      <c r="N30" s="97">
        <v>0</v>
      </c>
      <c r="O30" s="98">
        <v>0</v>
      </c>
      <c r="P30" s="99">
        <v>0</v>
      </c>
      <c r="Q30" s="77" t="s">
        <v>47</v>
      </c>
      <c r="R30" s="100"/>
      <c r="S30" s="31"/>
    </row>
    <row r="31" spans="1:19" ht="30">
      <c r="A31" s="20"/>
      <c r="B31" s="78" t="s">
        <v>48</v>
      </c>
      <c r="C31" s="101"/>
      <c r="D31" s="102">
        <v>10135</v>
      </c>
      <c r="E31" s="103">
        <v>0</v>
      </c>
      <c r="F31" s="79">
        <v>10135</v>
      </c>
      <c r="G31" s="102">
        <v>30474</v>
      </c>
      <c r="H31" s="103">
        <v>0</v>
      </c>
      <c r="I31" s="79">
        <v>30474</v>
      </c>
      <c r="J31" s="102">
        <v>54702</v>
      </c>
      <c r="K31" s="103">
        <v>0</v>
      </c>
      <c r="L31" s="79">
        <v>54702</v>
      </c>
      <c r="M31" s="278">
        <v>71.05600550361174</v>
      </c>
      <c r="N31" s="102">
        <v>31979</v>
      </c>
      <c r="O31" s="103">
        <v>0</v>
      </c>
      <c r="P31" s="79">
        <v>31979</v>
      </c>
      <c r="Q31" s="104"/>
      <c r="R31" s="72" t="s">
        <v>49</v>
      </c>
      <c r="S31" s="31"/>
    </row>
    <row r="32" spans="1:19" ht="30">
      <c r="A32" s="20"/>
      <c r="B32" s="90"/>
      <c r="C32" s="91" t="s">
        <v>50</v>
      </c>
      <c r="D32" s="92">
        <v>10135</v>
      </c>
      <c r="E32" s="93">
        <v>0</v>
      </c>
      <c r="F32" s="94">
        <v>10135</v>
      </c>
      <c r="G32" s="92">
        <v>30474</v>
      </c>
      <c r="H32" s="93">
        <v>0</v>
      </c>
      <c r="I32" s="94">
        <v>30474</v>
      </c>
      <c r="J32" s="92">
        <v>54702</v>
      </c>
      <c r="K32" s="93">
        <v>0</v>
      </c>
      <c r="L32" s="94">
        <v>54702</v>
      </c>
      <c r="M32" s="278">
        <v>71.05600550361174</v>
      </c>
      <c r="N32" s="92">
        <v>31979</v>
      </c>
      <c r="O32" s="93">
        <v>0</v>
      </c>
      <c r="P32" s="94">
        <v>31979</v>
      </c>
      <c r="Q32" s="95" t="s">
        <v>51</v>
      </c>
      <c r="R32" s="100"/>
      <c r="S32" s="31"/>
    </row>
    <row r="33" spans="1:19" ht="30.75" thickBot="1">
      <c r="A33" s="20"/>
      <c r="B33" s="105"/>
      <c r="C33" s="96" t="s">
        <v>52</v>
      </c>
      <c r="D33" s="106">
        <v>0</v>
      </c>
      <c r="E33" s="107">
        <v>0</v>
      </c>
      <c r="F33" s="82">
        <v>0</v>
      </c>
      <c r="G33" s="106">
        <v>0</v>
      </c>
      <c r="H33" s="107">
        <v>0</v>
      </c>
      <c r="I33" s="82">
        <v>0</v>
      </c>
      <c r="J33" s="106">
        <v>0</v>
      </c>
      <c r="K33" s="107">
        <v>0</v>
      </c>
      <c r="L33" s="82">
        <v>0</v>
      </c>
      <c r="M33" s="270">
        <v>0</v>
      </c>
      <c r="N33" s="106">
        <v>0</v>
      </c>
      <c r="O33" s="107">
        <v>0</v>
      </c>
      <c r="P33" s="82">
        <v>0</v>
      </c>
      <c r="Q33" s="77" t="s">
        <v>53</v>
      </c>
      <c r="R33" s="108"/>
      <c r="S33" s="31"/>
    </row>
    <row r="34" spans="1:19" ht="30.75" thickBot="1">
      <c r="A34" s="20"/>
      <c r="B34" s="262"/>
      <c r="C34" s="262"/>
      <c r="D34" s="51"/>
      <c r="E34" s="51"/>
      <c r="F34" s="51"/>
      <c r="G34" s="51"/>
      <c r="H34" s="51"/>
      <c r="I34" s="51"/>
      <c r="J34" s="51"/>
      <c r="K34" s="51"/>
      <c r="L34" s="51"/>
      <c r="M34" s="273"/>
      <c r="N34" s="51"/>
      <c r="O34" s="51"/>
      <c r="P34" s="51"/>
      <c r="Q34" s="264"/>
      <c r="R34" s="264"/>
      <c r="S34" s="31"/>
    </row>
    <row r="35" spans="1:19" ht="30.75" thickBot="1">
      <c r="A35" s="109" t="s">
        <v>54</v>
      </c>
      <c r="B35" s="21"/>
      <c r="C35" s="21"/>
      <c r="D35" s="53">
        <v>6410</v>
      </c>
      <c r="E35" s="34">
        <v>-291</v>
      </c>
      <c r="F35" s="25">
        <v>6119</v>
      </c>
      <c r="G35" s="53">
        <v>-3101</v>
      </c>
      <c r="H35" s="34">
        <v>2362</v>
      </c>
      <c r="I35" s="25">
        <v>-739</v>
      </c>
      <c r="J35" s="53">
        <v>1030</v>
      </c>
      <c r="K35" s="34">
        <v>1880</v>
      </c>
      <c r="L35" s="25">
        <v>2910</v>
      </c>
      <c r="M35" s="110"/>
      <c r="N35" s="34">
        <v>12431</v>
      </c>
      <c r="O35" s="34">
        <v>2023</v>
      </c>
      <c r="P35" s="25">
        <v>14454</v>
      </c>
      <c r="Q35" s="26"/>
      <c r="R35" s="26"/>
      <c r="S35" s="28" t="s">
        <v>55</v>
      </c>
    </row>
    <row r="36" spans="1:19" ht="30">
      <c r="A36" s="20"/>
      <c r="B36" s="37" t="s">
        <v>56</v>
      </c>
      <c r="C36" s="38"/>
      <c r="D36" s="67">
        <v>9662</v>
      </c>
      <c r="E36" s="68">
        <v>-306</v>
      </c>
      <c r="F36" s="41">
        <v>9356</v>
      </c>
      <c r="G36" s="67">
        <v>-136</v>
      </c>
      <c r="H36" s="68">
        <v>-28</v>
      </c>
      <c r="I36" s="41">
        <v>-164</v>
      </c>
      <c r="J36" s="67">
        <v>9504</v>
      </c>
      <c r="K36" s="68">
        <v>-521</v>
      </c>
      <c r="L36" s="41">
        <v>8983</v>
      </c>
      <c r="M36" s="111"/>
      <c r="N36" s="67">
        <v>13219</v>
      </c>
      <c r="O36" s="68">
        <v>1751</v>
      </c>
      <c r="P36" s="41">
        <v>14970</v>
      </c>
      <c r="Q36" s="42"/>
      <c r="R36" s="43" t="s">
        <v>57</v>
      </c>
      <c r="S36" s="31"/>
    </row>
    <row r="37" spans="1:19" ht="30.75" thickBot="1">
      <c r="A37" s="20"/>
      <c r="B37" s="73" t="s">
        <v>58</v>
      </c>
      <c r="C37" s="112"/>
      <c r="D37" s="46">
        <v>-3252</v>
      </c>
      <c r="E37" s="47">
        <v>15</v>
      </c>
      <c r="F37" s="48">
        <v>-3237</v>
      </c>
      <c r="G37" s="46">
        <v>-2965</v>
      </c>
      <c r="H37" s="47">
        <v>2390</v>
      </c>
      <c r="I37" s="48">
        <v>-575</v>
      </c>
      <c r="J37" s="46">
        <v>-8474</v>
      </c>
      <c r="K37" s="107">
        <v>2401</v>
      </c>
      <c r="L37" s="48">
        <v>-6073</v>
      </c>
      <c r="M37" s="113"/>
      <c r="N37" s="46">
        <v>-788</v>
      </c>
      <c r="O37" s="107">
        <v>272</v>
      </c>
      <c r="P37" s="48">
        <v>-516</v>
      </c>
      <c r="Q37" s="49"/>
      <c r="R37" s="50" t="s">
        <v>59</v>
      </c>
      <c r="S37" s="31"/>
    </row>
    <row r="38" spans="1:19" ht="30.75" thickBot="1">
      <c r="A38" s="20"/>
      <c r="B38" s="101"/>
      <c r="C38" s="29"/>
      <c r="D38" s="51"/>
      <c r="E38" s="51"/>
      <c r="F38" s="85"/>
      <c r="G38" s="51"/>
      <c r="H38" s="51"/>
      <c r="I38" s="85"/>
      <c r="J38" s="85"/>
      <c r="K38" s="85"/>
      <c r="L38" s="85"/>
      <c r="M38" s="114"/>
      <c r="N38" s="85"/>
      <c r="O38" s="85"/>
      <c r="P38" s="85"/>
      <c r="Q38" s="115"/>
      <c r="R38" s="115"/>
      <c r="S38" s="31"/>
    </row>
    <row r="39" spans="1:19" ht="30.75" thickBot="1">
      <c r="A39" s="20"/>
      <c r="B39" s="29"/>
      <c r="C39" s="29"/>
      <c r="D39" s="382" t="s">
        <v>112</v>
      </c>
      <c r="E39" s="383"/>
      <c r="F39" s="383"/>
      <c r="G39" s="382" t="s">
        <v>113</v>
      </c>
      <c r="H39" s="383"/>
      <c r="I39" s="383"/>
      <c r="J39" s="382" t="s">
        <v>113</v>
      </c>
      <c r="K39" s="383"/>
      <c r="L39" s="383"/>
      <c r="M39" s="116"/>
      <c r="N39" s="382" t="s">
        <v>114</v>
      </c>
      <c r="O39" s="383"/>
      <c r="P39" s="383"/>
      <c r="Q39" s="264"/>
      <c r="R39" s="264"/>
      <c r="S39" s="31"/>
    </row>
    <row r="40" spans="1:19" ht="30.75" thickBot="1">
      <c r="A40" s="117" t="s">
        <v>60</v>
      </c>
      <c r="B40" s="118"/>
      <c r="C40" s="118"/>
      <c r="D40" s="53">
        <v>1402595</v>
      </c>
      <c r="E40" s="34">
        <v>6266</v>
      </c>
      <c r="F40" s="23">
        <v>1408861</v>
      </c>
      <c r="G40" s="22">
        <v>1733261</v>
      </c>
      <c r="H40" s="23">
        <v>4460</v>
      </c>
      <c r="I40" s="23">
        <v>1737721</v>
      </c>
      <c r="J40" s="53">
        <v>1733261</v>
      </c>
      <c r="K40" s="53">
        <v>4460</v>
      </c>
      <c r="L40" s="24">
        <v>1737721</v>
      </c>
      <c r="M40" s="272">
        <v>-4.65027975753798</v>
      </c>
      <c r="N40" s="53">
        <v>1811047</v>
      </c>
      <c r="O40" s="34">
        <v>11424</v>
      </c>
      <c r="P40" s="24">
        <v>1822471</v>
      </c>
      <c r="Q40" s="119"/>
      <c r="R40" s="119"/>
      <c r="S40" s="120" t="s">
        <v>61</v>
      </c>
    </row>
    <row r="41" spans="1:19" ht="30.75" thickBot="1">
      <c r="A41" s="121"/>
      <c r="B41" s="17"/>
      <c r="C41" s="17"/>
      <c r="D41" s="309"/>
      <c r="E41" s="309"/>
      <c r="F41" s="309"/>
      <c r="G41" s="309"/>
      <c r="H41" s="309"/>
      <c r="I41" s="309"/>
      <c r="J41" s="309"/>
      <c r="K41" s="309"/>
      <c r="L41" s="309"/>
      <c r="M41" s="30"/>
      <c r="N41" s="309"/>
      <c r="O41" s="309"/>
      <c r="P41" s="309"/>
      <c r="Q41" s="384"/>
      <c r="R41" s="384"/>
      <c r="S41" s="31"/>
    </row>
    <row r="42" spans="1:19" ht="30.75" thickBot="1">
      <c r="A42" s="109" t="s">
        <v>62</v>
      </c>
      <c r="B42" s="21"/>
      <c r="C42" s="21"/>
      <c r="D42" s="53">
        <v>1402595</v>
      </c>
      <c r="E42" s="34">
        <v>6266</v>
      </c>
      <c r="F42" s="23">
        <v>1408861</v>
      </c>
      <c r="G42" s="53">
        <v>1733261</v>
      </c>
      <c r="H42" s="34">
        <v>4460</v>
      </c>
      <c r="I42" s="23">
        <v>1737721</v>
      </c>
      <c r="J42" s="53">
        <v>1733261</v>
      </c>
      <c r="K42" s="34">
        <v>4460</v>
      </c>
      <c r="L42" s="24">
        <v>1737721</v>
      </c>
      <c r="M42" s="272">
        <v>-4.65027975753798</v>
      </c>
      <c r="N42" s="53">
        <v>1811047</v>
      </c>
      <c r="O42" s="34">
        <v>11424</v>
      </c>
      <c r="P42" s="24">
        <v>1822471</v>
      </c>
      <c r="Q42" s="26"/>
      <c r="R42" s="26"/>
      <c r="S42" s="28" t="s">
        <v>63</v>
      </c>
    </row>
    <row r="43" spans="1:19" ht="30">
      <c r="A43" s="122"/>
      <c r="B43" s="37" t="s">
        <v>64</v>
      </c>
      <c r="C43" s="38"/>
      <c r="D43" s="39">
        <v>1065401</v>
      </c>
      <c r="E43" s="68">
        <v>6131</v>
      </c>
      <c r="F43" s="69">
        <v>1071532</v>
      </c>
      <c r="G43" s="39">
        <v>1409919</v>
      </c>
      <c r="H43" s="68">
        <v>4331</v>
      </c>
      <c r="I43" s="69">
        <v>1414250</v>
      </c>
      <c r="J43" s="39">
        <v>1409919</v>
      </c>
      <c r="K43" s="68">
        <v>4331</v>
      </c>
      <c r="L43" s="69">
        <v>1414250</v>
      </c>
      <c r="M43" s="274">
        <v>-9.97984134046493</v>
      </c>
      <c r="N43" s="39">
        <v>1561868</v>
      </c>
      <c r="O43" s="68">
        <v>9169</v>
      </c>
      <c r="P43" s="69">
        <v>1571037</v>
      </c>
      <c r="Q43" s="42"/>
      <c r="R43" s="43" t="s">
        <v>65</v>
      </c>
      <c r="S43" s="31"/>
    </row>
    <row r="44" spans="1:19" ht="30.75" thickBot="1">
      <c r="A44" s="122"/>
      <c r="B44" s="73" t="s">
        <v>66</v>
      </c>
      <c r="C44" s="112"/>
      <c r="D44" s="46">
        <v>337194</v>
      </c>
      <c r="E44" s="47">
        <v>135</v>
      </c>
      <c r="F44" s="48">
        <v>337329</v>
      </c>
      <c r="G44" s="46">
        <v>323342</v>
      </c>
      <c r="H44" s="47">
        <v>129</v>
      </c>
      <c r="I44" s="48">
        <v>323471</v>
      </c>
      <c r="J44" s="46">
        <v>323342</v>
      </c>
      <c r="K44" s="47">
        <v>129</v>
      </c>
      <c r="L44" s="48">
        <v>323471</v>
      </c>
      <c r="M44" s="274">
        <v>28.650460955956632</v>
      </c>
      <c r="N44" s="46">
        <v>249179</v>
      </c>
      <c r="O44" s="47">
        <v>2255</v>
      </c>
      <c r="P44" s="48">
        <v>251434</v>
      </c>
      <c r="Q44" s="49"/>
      <c r="R44" s="50" t="s">
        <v>67</v>
      </c>
      <c r="S44" s="31"/>
    </row>
    <row r="45" spans="1:19" ht="30.75" thickBot="1">
      <c r="A45" s="117"/>
      <c r="B45" s="118"/>
      <c r="C45" s="118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3"/>
      <c r="O45" s="123"/>
      <c r="P45" s="123"/>
      <c r="Q45" s="119"/>
      <c r="R45" s="119"/>
      <c r="S45" s="125"/>
    </row>
    <row r="46" spans="1:19" ht="30">
      <c r="A46" s="126" t="s">
        <v>68</v>
      </c>
      <c r="B46" s="127"/>
      <c r="C46" s="127"/>
      <c r="D46" s="128"/>
      <c r="E46" s="129"/>
      <c r="F46" s="130" t="s">
        <v>23</v>
      </c>
      <c r="G46" s="128"/>
      <c r="H46" s="129"/>
      <c r="I46" s="130"/>
      <c r="J46" s="128"/>
      <c r="K46" s="129"/>
      <c r="L46" s="130" t="s">
        <v>23</v>
      </c>
      <c r="M46" s="131"/>
      <c r="N46" s="128"/>
      <c r="O46" s="129"/>
      <c r="P46" s="130"/>
      <c r="Q46" s="17"/>
      <c r="R46" s="17"/>
      <c r="S46" s="132" t="s">
        <v>69</v>
      </c>
    </row>
    <row r="47" spans="1:19" ht="30">
      <c r="A47" s="109" t="s">
        <v>70</v>
      </c>
      <c r="B47" s="262"/>
      <c r="C47" s="262"/>
      <c r="D47" s="133"/>
      <c r="E47" s="134"/>
      <c r="F47" s="135"/>
      <c r="G47" s="133"/>
      <c r="H47" s="134"/>
      <c r="I47" s="135"/>
      <c r="J47" s="133"/>
      <c r="K47" s="134"/>
      <c r="L47" s="135"/>
      <c r="M47" s="136"/>
      <c r="N47" s="133"/>
      <c r="O47" s="134"/>
      <c r="P47" s="135"/>
      <c r="Q47" s="29"/>
      <c r="R47" s="29"/>
      <c r="S47" s="28" t="s">
        <v>71</v>
      </c>
    </row>
    <row r="48" spans="1:19" ht="30">
      <c r="A48" s="137"/>
      <c r="B48" s="262" t="s">
        <v>72</v>
      </c>
      <c r="C48" s="262"/>
      <c r="D48" s="138">
        <v>12347</v>
      </c>
      <c r="E48" s="134">
        <v>0</v>
      </c>
      <c r="F48" s="139">
        <v>12347</v>
      </c>
      <c r="G48" s="138">
        <v>11562</v>
      </c>
      <c r="H48" s="134">
        <v>0</v>
      </c>
      <c r="I48" s="139">
        <v>11562</v>
      </c>
      <c r="J48" s="138">
        <v>3881</v>
      </c>
      <c r="K48" s="134">
        <v>0</v>
      </c>
      <c r="L48" s="139">
        <v>3881</v>
      </c>
      <c r="M48" s="140"/>
      <c r="N48" s="138">
        <v>7404</v>
      </c>
      <c r="O48" s="134">
        <v>0</v>
      </c>
      <c r="P48" s="135">
        <v>7404</v>
      </c>
      <c r="Q48" s="29"/>
      <c r="R48" s="264" t="s">
        <v>73</v>
      </c>
      <c r="S48" s="31"/>
    </row>
    <row r="49" spans="1:19" ht="30">
      <c r="A49" s="137"/>
      <c r="B49" s="262" t="s">
        <v>74</v>
      </c>
      <c r="C49" s="262"/>
      <c r="D49" s="138">
        <v>14758</v>
      </c>
      <c r="E49" s="134">
        <v>0</v>
      </c>
      <c r="F49" s="139">
        <v>14758</v>
      </c>
      <c r="G49" s="138">
        <v>0</v>
      </c>
      <c r="H49" s="134">
        <v>0</v>
      </c>
      <c r="I49" s="139">
        <v>0</v>
      </c>
      <c r="J49" s="138">
        <v>44461</v>
      </c>
      <c r="K49" s="134">
        <v>0</v>
      </c>
      <c r="L49" s="139">
        <v>44461</v>
      </c>
      <c r="M49" s="140"/>
      <c r="N49" s="138">
        <v>25440</v>
      </c>
      <c r="O49" s="134">
        <v>0</v>
      </c>
      <c r="P49" s="135">
        <v>25440</v>
      </c>
      <c r="Q49" s="29"/>
      <c r="R49" s="264" t="s">
        <v>75</v>
      </c>
      <c r="S49" s="31"/>
    </row>
    <row r="50" spans="1:19" ht="30">
      <c r="A50" s="137"/>
      <c r="B50" s="262" t="s">
        <v>76</v>
      </c>
      <c r="C50" s="262"/>
      <c r="D50" s="138">
        <v>15543</v>
      </c>
      <c r="E50" s="134">
        <v>0</v>
      </c>
      <c r="F50" s="139">
        <v>15543</v>
      </c>
      <c r="G50" s="138">
        <v>9303</v>
      </c>
      <c r="H50" s="134">
        <v>0</v>
      </c>
      <c r="I50" s="139">
        <v>9303</v>
      </c>
      <c r="J50" s="138">
        <v>46083</v>
      </c>
      <c r="K50" s="134">
        <v>0</v>
      </c>
      <c r="L50" s="139">
        <v>46083</v>
      </c>
      <c r="M50" s="140"/>
      <c r="N50" s="138">
        <v>26958</v>
      </c>
      <c r="O50" s="134">
        <v>0</v>
      </c>
      <c r="P50" s="135">
        <v>26958</v>
      </c>
      <c r="Q50" s="29"/>
      <c r="R50" s="264" t="s">
        <v>77</v>
      </c>
      <c r="S50" s="31"/>
    </row>
    <row r="51" spans="1:19" ht="30">
      <c r="A51" s="141" t="s">
        <v>23</v>
      </c>
      <c r="B51" s="262" t="s">
        <v>78</v>
      </c>
      <c r="C51" s="262"/>
      <c r="D51" s="138">
        <v>0</v>
      </c>
      <c r="E51" s="142">
        <v>0</v>
      </c>
      <c r="F51" s="139">
        <v>0</v>
      </c>
      <c r="G51" s="138">
        <v>0</v>
      </c>
      <c r="H51" s="142">
        <v>0</v>
      </c>
      <c r="I51" s="139">
        <v>0</v>
      </c>
      <c r="J51" s="138">
        <v>0</v>
      </c>
      <c r="K51" s="142">
        <v>0</v>
      </c>
      <c r="L51" s="139">
        <v>0</v>
      </c>
      <c r="M51" s="143"/>
      <c r="N51" s="138">
        <v>-194</v>
      </c>
      <c r="O51" s="142">
        <v>0</v>
      </c>
      <c r="P51" s="135">
        <v>-194</v>
      </c>
      <c r="Q51" s="29"/>
      <c r="R51" s="264" t="s">
        <v>79</v>
      </c>
      <c r="S51" s="31"/>
    </row>
    <row r="52" spans="1:19" ht="30.75" thickBot="1">
      <c r="A52" s="144"/>
      <c r="B52" s="145" t="s">
        <v>80</v>
      </c>
      <c r="C52" s="145"/>
      <c r="D52" s="146">
        <v>11562</v>
      </c>
      <c r="E52" s="147">
        <v>0</v>
      </c>
      <c r="F52" s="148">
        <v>11562</v>
      </c>
      <c r="G52" s="146">
        <v>2259</v>
      </c>
      <c r="H52" s="147">
        <v>0</v>
      </c>
      <c r="I52" s="148">
        <v>2259</v>
      </c>
      <c r="J52" s="146">
        <v>2259</v>
      </c>
      <c r="K52" s="147">
        <v>0</v>
      </c>
      <c r="L52" s="149">
        <v>2259</v>
      </c>
      <c r="M52" s="150"/>
      <c r="N52" s="146">
        <v>6080</v>
      </c>
      <c r="O52" s="147">
        <v>0</v>
      </c>
      <c r="P52" s="149">
        <v>6080</v>
      </c>
      <c r="Q52" s="151"/>
      <c r="R52" s="152" t="s">
        <v>81</v>
      </c>
      <c r="S52" s="125"/>
    </row>
    <row r="53" spans="1:19" ht="30">
      <c r="A53" s="387" t="s">
        <v>82</v>
      </c>
      <c r="B53" s="388"/>
      <c r="C53" s="388"/>
      <c r="D53" s="388"/>
      <c r="E53" s="388"/>
      <c r="F53" s="388"/>
      <c r="G53" s="388"/>
      <c r="H53" s="388"/>
      <c r="I53" s="388"/>
      <c r="J53" s="153" t="s">
        <v>99</v>
      </c>
      <c r="K53" s="262" t="s">
        <v>84</v>
      </c>
      <c r="L53" s="262"/>
      <c r="M53" s="154"/>
      <c r="N53" s="262"/>
      <c r="O53" s="262"/>
      <c r="P53" s="262"/>
      <c r="Q53" s="262"/>
      <c r="R53" s="262"/>
      <c r="S53" s="263"/>
    </row>
    <row r="54" spans="1:19" ht="30">
      <c r="A54" s="387" t="s">
        <v>85</v>
      </c>
      <c r="B54" s="388"/>
      <c r="C54" s="388"/>
      <c r="D54" s="388"/>
      <c r="E54" s="388"/>
      <c r="F54" s="388"/>
      <c r="G54" s="388"/>
      <c r="H54" s="388"/>
      <c r="I54" s="388"/>
      <c r="J54" s="153" t="s">
        <v>83</v>
      </c>
      <c r="K54" s="262" t="s">
        <v>87</v>
      </c>
      <c r="L54" s="262"/>
      <c r="M54" s="154"/>
      <c r="N54" s="262"/>
      <c r="O54" s="262"/>
      <c r="P54" s="262"/>
      <c r="Q54" s="262"/>
      <c r="R54" s="262"/>
      <c r="S54" s="263"/>
    </row>
    <row r="55" spans="1:19" ht="30">
      <c r="A55" s="265"/>
      <c r="B55" s="264"/>
      <c r="C55" s="264"/>
      <c r="D55" s="264"/>
      <c r="E55" s="264"/>
      <c r="F55" s="264"/>
      <c r="G55" s="264"/>
      <c r="H55" s="264"/>
      <c r="I55" s="264" t="s">
        <v>88</v>
      </c>
      <c r="J55" s="153" t="s">
        <v>86</v>
      </c>
      <c r="K55" s="262" t="s">
        <v>90</v>
      </c>
      <c r="L55" s="262"/>
      <c r="M55" s="154"/>
      <c r="N55" s="262"/>
      <c r="O55" s="262"/>
      <c r="P55" s="262"/>
      <c r="Q55" s="262"/>
      <c r="R55" s="262"/>
      <c r="S55" s="263"/>
    </row>
    <row r="56" spans="1:19" ht="30">
      <c r="A56" s="387" t="s">
        <v>91</v>
      </c>
      <c r="B56" s="388"/>
      <c r="C56" s="388"/>
      <c r="D56" s="388"/>
      <c r="E56" s="388"/>
      <c r="F56" s="388"/>
      <c r="G56" s="388"/>
      <c r="H56" s="388"/>
      <c r="I56" s="388"/>
      <c r="J56" s="153"/>
      <c r="K56" s="262" t="s">
        <v>93</v>
      </c>
      <c r="L56" s="262"/>
      <c r="M56" s="154"/>
      <c r="N56" s="262"/>
      <c r="O56" s="262"/>
      <c r="P56" s="262"/>
      <c r="Q56" s="262"/>
      <c r="R56" s="262"/>
      <c r="S56" s="263"/>
    </row>
    <row r="57" spans="1:19" ht="30.75" thickBot="1">
      <c r="A57" s="389"/>
      <c r="B57" s="390"/>
      <c r="C57" s="390"/>
      <c r="D57" s="390"/>
      <c r="E57" s="390"/>
      <c r="F57" s="390"/>
      <c r="G57" s="390"/>
      <c r="H57" s="390"/>
      <c r="I57" s="390"/>
      <c r="J57" s="279"/>
      <c r="K57" s="385"/>
      <c r="L57" s="385"/>
      <c r="M57" s="385"/>
      <c r="N57" s="385"/>
      <c r="O57" s="385"/>
      <c r="P57" s="385"/>
      <c r="Q57" s="385"/>
      <c r="R57" s="385"/>
      <c r="S57" s="386"/>
    </row>
    <row r="58" spans="1:19" ht="30">
      <c r="A58" s="280"/>
      <c r="B58" s="281"/>
      <c r="C58" s="281"/>
      <c r="D58" s="282"/>
      <c r="E58" s="282"/>
      <c r="F58" s="282"/>
      <c r="G58" s="282"/>
      <c r="H58" s="282"/>
      <c r="I58" s="283"/>
      <c r="J58" s="282"/>
      <c r="K58" s="282"/>
      <c r="L58" s="282"/>
      <c r="M58" s="284"/>
      <c r="N58" s="282"/>
      <c r="O58" s="282"/>
      <c r="P58" s="282"/>
      <c r="Q58" s="285"/>
      <c r="R58" s="285"/>
      <c r="S58" s="286"/>
    </row>
  </sheetData>
  <sheetProtection selectLockedCells="1"/>
  <mergeCells count="37">
    <mergeCell ref="Q41:R41"/>
    <mergeCell ref="K57:S57"/>
    <mergeCell ref="A53:I53"/>
    <mergeCell ref="A54:I54"/>
    <mergeCell ref="A56:I56"/>
    <mergeCell ref="A57:I57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2015-01-22T09:03:59Z</cp:lastPrinted>
  <dcterms:created xsi:type="dcterms:W3CDTF">2013-08-02T12:34:35Z</dcterms:created>
  <dcterms:modified xsi:type="dcterms:W3CDTF">2015-01-29T05:08:46Z</dcterms:modified>
  <cp:category/>
  <cp:version/>
  <cp:contentType/>
  <cp:contentStatus/>
</cp:coreProperties>
</file>