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ISTIEKE\Historiese inligting\Historiese_PRODUK_inligting\Web publication\"/>
    </mc:Choice>
  </mc:AlternateContent>
  <xr:revisionPtr revIDLastSave="0" documentId="13_ncr:1_{967B7980-939A-4FB4-82B0-D0FACC0F28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ist &amp; Current WM Products" sheetId="9" r:id="rId1"/>
    <sheet name="WM Meal Chart" sheetId="3" r:id="rId2"/>
    <sheet name="WM Rice Grit Samp Chart" sheetId="4" r:id="rId3"/>
    <sheet name="Hist &amp; Current YM Products" sheetId="6" r:id="rId4"/>
    <sheet name="White Maize Prod BRON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7" i="9" l="1"/>
  <c r="K77" i="9" l="1"/>
  <c r="K76" i="9"/>
  <c r="K75" i="9"/>
  <c r="K74" i="9"/>
  <c r="I28" i="6" l="1"/>
  <c r="K28" i="6" s="1"/>
  <c r="I27" i="6"/>
  <c r="U76" i="9"/>
  <c r="U75" i="9"/>
  <c r="W76" i="9" l="1"/>
  <c r="X76" i="9" s="1"/>
  <c r="E76" i="9"/>
  <c r="M76" i="9" l="1"/>
  <c r="P76" i="9" s="1"/>
  <c r="V76" i="9"/>
  <c r="I26" i="6" l="1"/>
  <c r="W75" i="9"/>
  <c r="X75" i="9" s="1"/>
  <c r="E75" i="9"/>
  <c r="M75" i="9" l="1"/>
  <c r="P75" i="9" s="1"/>
  <c r="V75" i="9"/>
  <c r="U74" i="9" l="1"/>
  <c r="I25" i="6" l="1"/>
  <c r="W74" i="9" l="1"/>
  <c r="X74" i="9" s="1"/>
  <c r="V74" i="9"/>
  <c r="E74" i="9"/>
  <c r="M74" i="9" s="1"/>
  <c r="P74" i="9" s="1"/>
  <c r="V77" i="9" l="1"/>
  <c r="I24" i="6" l="1"/>
  <c r="W77" i="9"/>
  <c r="X77" i="9" s="1"/>
  <c r="E77" i="9"/>
  <c r="M77" i="9" l="1"/>
  <c r="P77" i="9" s="1"/>
  <c r="U73" i="9" l="1"/>
  <c r="K73" i="9"/>
  <c r="E73" i="9"/>
  <c r="W73" i="9" l="1"/>
  <c r="X73" i="9" s="1"/>
  <c r="V73" i="9"/>
  <c r="M73" i="9"/>
  <c r="Y56" i="2"/>
  <c r="E5" i="2"/>
  <c r="U72" i="9" l="1"/>
  <c r="W72" i="9" s="1"/>
  <c r="X72" i="9" s="1"/>
  <c r="V72" i="9" l="1"/>
  <c r="P73" i="9"/>
  <c r="U71" i="9" l="1"/>
  <c r="U70" i="9"/>
  <c r="U69" i="9"/>
  <c r="U68" i="9"/>
  <c r="U67" i="9"/>
  <c r="U66" i="9"/>
  <c r="U65" i="9"/>
  <c r="U64" i="9"/>
  <c r="U63" i="9"/>
  <c r="U62" i="9"/>
  <c r="U61" i="9"/>
  <c r="U60" i="9"/>
  <c r="U59" i="9"/>
  <c r="U58" i="9"/>
  <c r="U57" i="9"/>
  <c r="U56" i="9"/>
  <c r="U55" i="9"/>
  <c r="U54" i="9"/>
  <c r="U53" i="9"/>
  <c r="U52" i="9"/>
  <c r="U51" i="9"/>
  <c r="U50" i="9"/>
  <c r="U49" i="9"/>
  <c r="U48" i="9"/>
  <c r="U47" i="9"/>
  <c r="U46" i="9"/>
  <c r="U45" i="9"/>
  <c r="U44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W12" i="9" s="1"/>
  <c r="X12" i="9" s="1"/>
  <c r="U11" i="9"/>
  <c r="U10" i="9"/>
  <c r="U9" i="9"/>
  <c r="U8" i="9"/>
  <c r="U7" i="9"/>
  <c r="U6" i="9"/>
  <c r="U5" i="9"/>
  <c r="U4" i="9"/>
  <c r="W4" i="9" s="1"/>
  <c r="X4" i="9" s="1"/>
  <c r="U43" i="9"/>
  <c r="V5" i="9" l="1"/>
  <c r="W5" i="9"/>
  <c r="X5" i="9" s="1"/>
  <c r="V13" i="9"/>
  <c r="W13" i="9"/>
  <c r="X13" i="9" s="1"/>
  <c r="V21" i="9"/>
  <c r="W21" i="9"/>
  <c r="X21" i="9" s="1"/>
  <c r="V29" i="9"/>
  <c r="W29" i="9"/>
  <c r="X29" i="9" s="1"/>
  <c r="V37" i="9"/>
  <c r="W37" i="9"/>
  <c r="X37" i="9" s="1"/>
  <c r="V46" i="9"/>
  <c r="W46" i="9"/>
  <c r="X46" i="9" s="1"/>
  <c r="V50" i="9"/>
  <c r="W50" i="9"/>
  <c r="X50" i="9" s="1"/>
  <c r="V54" i="9"/>
  <c r="W54" i="9"/>
  <c r="X54" i="9" s="1"/>
  <c r="V58" i="9"/>
  <c r="W58" i="9"/>
  <c r="X58" i="9" s="1"/>
  <c r="V62" i="9"/>
  <c r="W62" i="9"/>
  <c r="X62" i="9" s="1"/>
  <c r="V66" i="9"/>
  <c r="W66" i="9"/>
  <c r="X66" i="9" s="1"/>
  <c r="V70" i="9"/>
  <c r="W70" i="9"/>
  <c r="X70" i="9" s="1"/>
  <c r="V6" i="9"/>
  <c r="W6" i="9"/>
  <c r="X6" i="9" s="1"/>
  <c r="V10" i="9"/>
  <c r="W10" i="9"/>
  <c r="X10" i="9" s="1"/>
  <c r="V14" i="9"/>
  <c r="W14" i="9"/>
  <c r="X14" i="9" s="1"/>
  <c r="V18" i="9"/>
  <c r="W18" i="9"/>
  <c r="X18" i="9" s="1"/>
  <c r="V22" i="9"/>
  <c r="W22" i="9"/>
  <c r="X22" i="9" s="1"/>
  <c r="V26" i="9"/>
  <c r="W26" i="9"/>
  <c r="X26" i="9" s="1"/>
  <c r="V30" i="9"/>
  <c r="W30" i="9"/>
  <c r="X30" i="9" s="1"/>
  <c r="V34" i="9"/>
  <c r="W34" i="9"/>
  <c r="X34" i="9" s="1"/>
  <c r="V38" i="9"/>
  <c r="W38" i="9"/>
  <c r="X38" i="9" s="1"/>
  <c r="V42" i="9"/>
  <c r="W42" i="9"/>
  <c r="X42" i="9" s="1"/>
  <c r="V47" i="9"/>
  <c r="W47" i="9"/>
  <c r="X47" i="9" s="1"/>
  <c r="V51" i="9"/>
  <c r="W51" i="9"/>
  <c r="X51" i="9" s="1"/>
  <c r="V55" i="9"/>
  <c r="W55" i="9"/>
  <c r="X55" i="9" s="1"/>
  <c r="V59" i="9"/>
  <c r="W59" i="9"/>
  <c r="X59" i="9" s="1"/>
  <c r="V63" i="9"/>
  <c r="W63" i="9"/>
  <c r="X63" i="9" s="1"/>
  <c r="V67" i="9"/>
  <c r="W67" i="9"/>
  <c r="X67" i="9" s="1"/>
  <c r="V71" i="9"/>
  <c r="W71" i="9"/>
  <c r="X71" i="9" s="1"/>
  <c r="V8" i="9"/>
  <c r="W8" i="9"/>
  <c r="X8" i="9" s="1"/>
  <c r="V9" i="9"/>
  <c r="W9" i="9"/>
  <c r="X9" i="9" s="1"/>
  <c r="V17" i="9"/>
  <c r="W17" i="9"/>
  <c r="X17" i="9" s="1"/>
  <c r="V25" i="9"/>
  <c r="W25" i="9"/>
  <c r="X25" i="9" s="1"/>
  <c r="V33" i="9"/>
  <c r="W33" i="9"/>
  <c r="X33" i="9" s="1"/>
  <c r="V41" i="9"/>
  <c r="W41" i="9"/>
  <c r="X41" i="9" s="1"/>
  <c r="V43" i="9"/>
  <c r="W43" i="9"/>
  <c r="X43" i="9" s="1"/>
  <c r="V7" i="9"/>
  <c r="W7" i="9"/>
  <c r="X7" i="9" s="1"/>
  <c r="V11" i="9"/>
  <c r="W11" i="9"/>
  <c r="X11" i="9" s="1"/>
  <c r="V15" i="9"/>
  <c r="W15" i="9"/>
  <c r="X15" i="9" s="1"/>
  <c r="V19" i="9"/>
  <c r="W19" i="9"/>
  <c r="X19" i="9" s="1"/>
  <c r="V23" i="9"/>
  <c r="W23" i="9"/>
  <c r="X23" i="9" s="1"/>
  <c r="V27" i="9"/>
  <c r="W27" i="9"/>
  <c r="X27" i="9" s="1"/>
  <c r="V31" i="9"/>
  <c r="W31" i="9"/>
  <c r="X31" i="9" s="1"/>
  <c r="V35" i="9"/>
  <c r="W35" i="9"/>
  <c r="X35" i="9" s="1"/>
  <c r="V39" i="9"/>
  <c r="W39" i="9"/>
  <c r="X39" i="9" s="1"/>
  <c r="V44" i="9"/>
  <c r="W44" i="9"/>
  <c r="X44" i="9" s="1"/>
  <c r="V48" i="9"/>
  <c r="W48" i="9"/>
  <c r="X48" i="9" s="1"/>
  <c r="V52" i="9"/>
  <c r="W52" i="9"/>
  <c r="X52" i="9" s="1"/>
  <c r="V56" i="9"/>
  <c r="W56" i="9"/>
  <c r="X56" i="9" s="1"/>
  <c r="V60" i="9"/>
  <c r="W60" i="9"/>
  <c r="X60" i="9" s="1"/>
  <c r="V64" i="9"/>
  <c r="W64" i="9"/>
  <c r="X64" i="9" s="1"/>
  <c r="V68" i="9"/>
  <c r="W68" i="9"/>
  <c r="X68" i="9" s="1"/>
  <c r="V4" i="9"/>
  <c r="V16" i="9"/>
  <c r="W16" i="9"/>
  <c r="X16" i="9" s="1"/>
  <c r="V20" i="9"/>
  <c r="W20" i="9"/>
  <c r="X20" i="9" s="1"/>
  <c r="V24" i="9"/>
  <c r="W24" i="9"/>
  <c r="X24" i="9" s="1"/>
  <c r="V28" i="9"/>
  <c r="W28" i="9"/>
  <c r="X28" i="9" s="1"/>
  <c r="V32" i="9"/>
  <c r="W32" i="9"/>
  <c r="X32" i="9" s="1"/>
  <c r="V36" i="9"/>
  <c r="W36" i="9"/>
  <c r="X36" i="9" s="1"/>
  <c r="V40" i="9"/>
  <c r="W40" i="9"/>
  <c r="X40" i="9" s="1"/>
  <c r="V45" i="9"/>
  <c r="W45" i="9"/>
  <c r="X45" i="9" s="1"/>
  <c r="V49" i="9"/>
  <c r="W49" i="9"/>
  <c r="X49" i="9" s="1"/>
  <c r="V53" i="9"/>
  <c r="W53" i="9"/>
  <c r="X53" i="9" s="1"/>
  <c r="V57" i="9"/>
  <c r="W57" i="9"/>
  <c r="X57" i="9" s="1"/>
  <c r="V61" i="9"/>
  <c r="W61" i="9"/>
  <c r="X61" i="9" s="1"/>
  <c r="V65" i="9"/>
  <c r="W65" i="9"/>
  <c r="X65" i="9" s="1"/>
  <c r="V69" i="9"/>
  <c r="W69" i="9"/>
  <c r="X69" i="9" s="1"/>
  <c r="V12" i="9"/>
  <c r="K42" i="9"/>
  <c r="E42" i="9"/>
  <c r="E45" i="9"/>
  <c r="M42" i="9" l="1"/>
  <c r="M72" i="9"/>
  <c r="P72" i="9" s="1"/>
  <c r="M71" i="9"/>
  <c r="P71" i="9" s="1"/>
  <c r="K41" i="9" l="1"/>
  <c r="K43" i="9"/>
  <c r="K44" i="9"/>
  <c r="K45" i="9"/>
  <c r="K46" i="9"/>
  <c r="K47" i="9"/>
  <c r="K48" i="9"/>
  <c r="K49" i="9"/>
  <c r="K50" i="9"/>
  <c r="K51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15" i="9"/>
  <c r="E5" i="9"/>
  <c r="M5" i="9" s="1"/>
  <c r="P5" i="9" s="1"/>
  <c r="E6" i="9"/>
  <c r="M6" i="9" s="1"/>
  <c r="P6" i="9" s="1"/>
  <c r="E7" i="9"/>
  <c r="M7" i="9" s="1"/>
  <c r="P7" i="9" s="1"/>
  <c r="E8" i="9"/>
  <c r="M8" i="9" s="1"/>
  <c r="P8" i="9" s="1"/>
  <c r="E9" i="9"/>
  <c r="M9" i="9" s="1"/>
  <c r="P9" i="9" s="1"/>
  <c r="E10" i="9"/>
  <c r="M10" i="9" s="1"/>
  <c r="P10" i="9" s="1"/>
  <c r="E11" i="9"/>
  <c r="M11" i="9" s="1"/>
  <c r="P11" i="9" s="1"/>
  <c r="E12" i="9"/>
  <c r="M12" i="9" s="1"/>
  <c r="P12" i="9" s="1"/>
  <c r="E13" i="9"/>
  <c r="M13" i="9" s="1"/>
  <c r="P13" i="9" s="1"/>
  <c r="E14" i="9"/>
  <c r="M14" i="9" s="1"/>
  <c r="P14" i="9" s="1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3" i="9"/>
  <c r="E44" i="9"/>
  <c r="E46" i="9"/>
  <c r="E47" i="9"/>
  <c r="E48" i="9"/>
  <c r="E49" i="9"/>
  <c r="E50" i="9"/>
  <c r="E51" i="9"/>
  <c r="E4" i="9"/>
  <c r="M4" i="9" s="1"/>
  <c r="P4" i="9" s="1"/>
  <c r="M15" i="9" l="1"/>
  <c r="P15" i="9" s="1"/>
  <c r="M24" i="9"/>
  <c r="P24" i="9" s="1"/>
  <c r="M47" i="9"/>
  <c r="P47" i="9" s="1"/>
  <c r="M43" i="9"/>
  <c r="P43" i="9" s="1"/>
  <c r="M39" i="9"/>
  <c r="P39" i="9" s="1"/>
  <c r="M35" i="9"/>
  <c r="P35" i="9" s="1"/>
  <c r="M31" i="9"/>
  <c r="P31" i="9" s="1"/>
  <c r="M27" i="9"/>
  <c r="P27" i="9" s="1"/>
  <c r="M23" i="9"/>
  <c r="P23" i="9" s="1"/>
  <c r="M19" i="9"/>
  <c r="P19" i="9" s="1"/>
  <c r="M51" i="9"/>
  <c r="P51" i="9" s="1"/>
  <c r="M20" i="9"/>
  <c r="P20" i="9" s="1"/>
  <c r="M16" i="9"/>
  <c r="P16" i="9" s="1"/>
  <c r="M38" i="9"/>
  <c r="P38" i="9" s="1"/>
  <c r="M22" i="9"/>
  <c r="P22" i="9" s="1"/>
  <c r="M18" i="9"/>
  <c r="P18" i="9" s="1"/>
  <c r="M49" i="9"/>
  <c r="P49" i="9" s="1"/>
  <c r="M45" i="9"/>
  <c r="P45" i="9" s="1"/>
  <c r="M41" i="9"/>
  <c r="P41" i="9" s="1"/>
  <c r="M37" i="9"/>
  <c r="P37" i="9" s="1"/>
  <c r="M33" i="9"/>
  <c r="P33" i="9" s="1"/>
  <c r="M29" i="9"/>
  <c r="P29" i="9" s="1"/>
  <c r="M25" i="9"/>
  <c r="P25" i="9" s="1"/>
  <c r="M21" i="9"/>
  <c r="P21" i="9" s="1"/>
  <c r="M17" i="9"/>
  <c r="P17" i="9" s="1"/>
  <c r="M48" i="9"/>
  <c r="P48" i="9" s="1"/>
  <c r="M44" i="9"/>
  <c r="P44" i="9" s="1"/>
  <c r="M40" i="9"/>
  <c r="P40" i="9" s="1"/>
  <c r="M36" i="9"/>
  <c r="P36" i="9" s="1"/>
  <c r="M32" i="9"/>
  <c r="P32" i="9" s="1"/>
  <c r="M28" i="9"/>
  <c r="P28" i="9" s="1"/>
  <c r="M50" i="9"/>
  <c r="P50" i="9" s="1"/>
  <c r="M46" i="9"/>
  <c r="P46" i="9" s="1"/>
  <c r="P42" i="9"/>
  <c r="M34" i="9"/>
  <c r="P34" i="9" s="1"/>
  <c r="M30" i="9"/>
  <c r="P30" i="9" s="1"/>
  <c r="M26" i="9"/>
  <c r="P26" i="9" s="1"/>
  <c r="I22" i="6"/>
  <c r="I23" i="6"/>
  <c r="Y34" i="2" l="1"/>
  <c r="W5" i="2"/>
  <c r="Y55" i="2"/>
  <c r="P57" i="2"/>
  <c r="Y30" i="2"/>
  <c r="Y35" i="2"/>
  <c r="Y36" i="2"/>
  <c r="Y54" i="2"/>
  <c r="C21" i="2" l="1"/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57" i="2" l="1"/>
  <c r="T33" i="2"/>
  <c r="Y33" i="2" s="1"/>
  <c r="R18" i="2" l="1"/>
  <c r="R17" i="2"/>
  <c r="R16" i="2"/>
  <c r="N18" i="2"/>
  <c r="N17" i="2"/>
  <c r="N16" i="2"/>
  <c r="L18" i="2"/>
  <c r="L17" i="2"/>
  <c r="L16" i="2"/>
  <c r="S18" i="2"/>
  <c r="T18" i="2" s="1"/>
  <c r="S17" i="2"/>
  <c r="T17" i="2" s="1"/>
  <c r="S16" i="2"/>
  <c r="T16" i="2" s="1"/>
  <c r="N19" i="2"/>
  <c r="L19" i="2"/>
  <c r="S19" i="2"/>
  <c r="T19" i="2" s="1"/>
  <c r="S21" i="2"/>
  <c r="T21" i="2" s="1"/>
  <c r="S20" i="2"/>
  <c r="T20" i="2" s="1"/>
  <c r="R21" i="2"/>
  <c r="R20" i="2"/>
  <c r="R19" i="2"/>
  <c r="N21" i="2"/>
  <c r="N20" i="2"/>
  <c r="L21" i="2"/>
  <c r="L20" i="2"/>
  <c r="T22" i="2"/>
  <c r="Y22" i="2" s="1"/>
  <c r="T23" i="2"/>
  <c r="Y23" i="2" s="1"/>
  <c r="T24" i="2"/>
  <c r="Y24" i="2" s="1"/>
  <c r="T25" i="2"/>
  <c r="Y25" i="2" s="1"/>
  <c r="T26" i="2"/>
  <c r="Y26" i="2" s="1"/>
  <c r="T32" i="2"/>
  <c r="Y32" i="2" s="1"/>
  <c r="T31" i="2"/>
  <c r="Y31" i="2" s="1"/>
  <c r="T29" i="2"/>
  <c r="Y29" i="2" s="1"/>
  <c r="T28" i="2"/>
  <c r="Y28" i="2" s="1"/>
  <c r="T27" i="2"/>
  <c r="Y27" i="2" s="1"/>
  <c r="T52" i="2"/>
  <c r="Y52" i="2" s="1"/>
  <c r="T51" i="2"/>
  <c r="Y51" i="2" s="1"/>
  <c r="T50" i="2"/>
  <c r="Y50" i="2" s="1"/>
  <c r="T49" i="2"/>
  <c r="Y49" i="2" s="1"/>
  <c r="T48" i="2"/>
  <c r="Y48" i="2" s="1"/>
  <c r="T47" i="2"/>
  <c r="Y47" i="2" s="1"/>
  <c r="T46" i="2"/>
  <c r="Y46" i="2" s="1"/>
  <c r="T45" i="2"/>
  <c r="Y45" i="2" s="1"/>
  <c r="T44" i="2"/>
  <c r="Y44" i="2" s="1"/>
  <c r="T43" i="2"/>
  <c r="Y43" i="2" s="1"/>
  <c r="T42" i="2"/>
  <c r="Y42" i="2" s="1"/>
  <c r="T41" i="2"/>
  <c r="Y41" i="2" s="1"/>
  <c r="T40" i="2"/>
  <c r="Y40" i="2" s="1"/>
  <c r="T39" i="2"/>
  <c r="Y39" i="2" s="1"/>
  <c r="T37" i="2"/>
  <c r="Y37" i="2" s="1"/>
  <c r="T38" i="2"/>
  <c r="Y38" i="2" s="1"/>
  <c r="U21" i="2"/>
  <c r="U20" i="2"/>
  <c r="I21" i="2"/>
  <c r="G21" i="2"/>
  <c r="E21" i="2"/>
  <c r="W6" i="2"/>
  <c r="X6" i="2" s="1"/>
  <c r="X5" i="2"/>
  <c r="U6" i="2"/>
  <c r="V6" i="2" s="1"/>
  <c r="U5" i="2"/>
  <c r="V5" i="2" s="1"/>
  <c r="I12" i="2"/>
  <c r="G12" i="2"/>
  <c r="W8" i="2"/>
  <c r="X8" i="2" s="1"/>
  <c r="W7" i="2"/>
  <c r="X7" i="2" s="1"/>
  <c r="U8" i="2"/>
  <c r="V8" i="2" s="1"/>
  <c r="U7" i="2"/>
  <c r="V7" i="2" s="1"/>
  <c r="W10" i="2"/>
  <c r="X10" i="2" s="1"/>
  <c r="W9" i="2"/>
  <c r="X9" i="2" s="1"/>
  <c r="U10" i="2"/>
  <c r="V10" i="2" s="1"/>
  <c r="U9" i="2"/>
  <c r="V9" i="2" s="1"/>
  <c r="E6" i="2"/>
  <c r="E7" i="2"/>
  <c r="E8" i="2"/>
  <c r="E9" i="2"/>
  <c r="E10" i="2"/>
  <c r="E11" i="2"/>
  <c r="E12" i="2"/>
  <c r="E14" i="2"/>
  <c r="E13" i="2"/>
  <c r="W12" i="2"/>
  <c r="X12" i="2" s="1"/>
  <c r="U12" i="2"/>
  <c r="V12" i="2" s="1"/>
  <c r="U11" i="2"/>
  <c r="V11" i="2" s="1"/>
  <c r="X11" i="2"/>
  <c r="I6" i="2"/>
  <c r="I7" i="2"/>
  <c r="I8" i="2"/>
  <c r="I9" i="2"/>
  <c r="I10" i="2"/>
  <c r="I11" i="2"/>
  <c r="I5" i="2"/>
  <c r="G6" i="2"/>
  <c r="G7" i="2"/>
  <c r="G8" i="2"/>
  <c r="G9" i="2"/>
  <c r="G10" i="2"/>
  <c r="G11" i="2"/>
  <c r="G5" i="2"/>
  <c r="W14" i="2"/>
  <c r="X14" i="2" s="1"/>
  <c r="W13" i="2"/>
  <c r="X13" i="2" s="1"/>
  <c r="U14" i="2"/>
  <c r="U13" i="2"/>
  <c r="V13" i="2" s="1"/>
  <c r="W15" i="2"/>
  <c r="X15" i="2" s="1"/>
  <c r="U15" i="2"/>
  <c r="V15" i="2" s="1"/>
  <c r="I14" i="2"/>
  <c r="I13" i="2"/>
  <c r="G14" i="2"/>
  <c r="G13" i="2"/>
  <c r="V14" i="2"/>
  <c r="I16" i="2"/>
  <c r="I17" i="2"/>
  <c r="I18" i="2"/>
  <c r="I19" i="2"/>
  <c r="I20" i="2"/>
  <c r="I15" i="2"/>
  <c r="G16" i="2"/>
  <c r="G17" i="2"/>
  <c r="G18" i="2"/>
  <c r="G19" i="2"/>
  <c r="G20" i="2"/>
  <c r="G15" i="2"/>
  <c r="E16" i="2"/>
  <c r="E17" i="2"/>
  <c r="E18" i="2"/>
  <c r="Y18" i="2" s="1"/>
  <c r="E19" i="2"/>
  <c r="E20" i="2"/>
  <c r="Y20" i="2" s="1"/>
  <c r="E15" i="2"/>
  <c r="Y21" i="2" l="1"/>
  <c r="Y10" i="2"/>
  <c r="R57" i="2"/>
  <c r="Y15" i="2"/>
  <c r="Y17" i="2"/>
  <c r="I57" i="2"/>
  <c r="Y14" i="2"/>
  <c r="Y9" i="2"/>
  <c r="N57" i="2"/>
  <c r="Y13" i="2"/>
  <c r="Y6" i="2"/>
  <c r="V57" i="2"/>
  <c r="Y5" i="2"/>
  <c r="E57" i="2"/>
  <c r="Y16" i="2"/>
  <c r="G57" i="2"/>
  <c r="Y12" i="2"/>
  <c r="Y8" i="2"/>
  <c r="X57" i="2"/>
  <c r="L57" i="2"/>
  <c r="Y19" i="2"/>
  <c r="Y11" i="2"/>
  <c r="Y7" i="2"/>
  <c r="T57" i="2"/>
  <c r="Z57" i="2" l="1"/>
  <c r="Y57" i="2"/>
</calcChain>
</file>

<file path=xl/sharedStrings.xml><?xml version="1.0" encoding="utf-8"?>
<sst xmlns="http://schemas.openxmlformats.org/spreadsheetml/2006/main" count="253" uniqueCount="159">
  <si>
    <t>1949/50</t>
  </si>
  <si>
    <t>1950/51</t>
  </si>
  <si>
    <t>1951/52</t>
  </si>
  <si>
    <t>1952/53</t>
  </si>
  <si>
    <t>1953/54</t>
  </si>
  <si>
    <t>Maize
Chop</t>
  </si>
  <si>
    <t>Maize
Rice</t>
  </si>
  <si>
    <t>Maize
Grits</t>
  </si>
  <si>
    <t>Samp</t>
  </si>
  <si>
    <t>Sifted
Maize
Meal</t>
  </si>
  <si>
    <t>Special
Maize
Meal</t>
  </si>
  <si>
    <t>Super
Maize
Meal</t>
  </si>
  <si>
    <t>Unsifted
Maize
Meal</t>
  </si>
  <si>
    <t>White Maize</t>
  </si>
  <si>
    <t>Marketing
season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</si>
  <si>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</si>
  <si>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</si>
  <si>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</si>
  <si>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</si>
  <si>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</si>
  <si>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</si>
  <si>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</si>
  <si>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</si>
  <si>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</si>
  <si>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</si>
  <si>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</si>
  <si>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</si>
  <si>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</si>
  <si>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</si>
  <si>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</si>
  <si>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</si>
  <si>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</si>
  <si>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</si>
  <si>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</si>
  <si>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</si>
  <si>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</si>
  <si>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</si>
  <si>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</si>
  <si>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</si>
  <si>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</si>
  <si>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</si>
  <si>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</si>
  <si>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</si>
  <si>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</si>
  <si>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</si>
  <si>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</si>
  <si>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</si>
  <si>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</si>
  <si>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</si>
  <si>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</si>
  <si>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</si>
  <si>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</si>
  <si>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</si>
  <si>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</si>
  <si>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</si>
  <si>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</si>
  <si>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</si>
  <si>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</si>
  <si>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Severe drought</t>
  </si>
  <si>
    <t>2. Other: Degermed Products, crushed maize</t>
  </si>
  <si>
    <t>Other maize
products
Human
Consump-tion</t>
  </si>
  <si>
    <t>3)</t>
  </si>
  <si>
    <t>4)</t>
  </si>
  <si>
    <t>3. The decline in the quantities of Special Maize Meal, Baker's cones and Mealie flour and the increase in the number of Sifted Maize Meal which is produced in  1970/71 is due to a ban on the manufacture and sale of above three three products during the period October 1970 to April 1971.</t>
  </si>
  <si>
    <t>1. Maize meal: From 1959 - 1960: Included all Maize meal and Maize flour</t>
  </si>
  <si>
    <t>4. Data for Super Maize Meal is only available from 1975/76</t>
  </si>
  <si>
    <t>'Ton</t>
  </si>
  <si>
    <t>Unsifted Maize Meal Yellow</t>
  </si>
  <si>
    <t>2016/17</t>
  </si>
  <si>
    <t>2017/18</t>
  </si>
  <si>
    <t>Source: 1949 - 1996 - Maize Board Reports</t>
  </si>
  <si>
    <t>Source: 2016 - to date: SAGIS</t>
  </si>
  <si>
    <t>1997/98 to 2015/16 - No information available</t>
  </si>
  <si>
    <t>(Pounds per kg)</t>
  </si>
  <si>
    <t>Metrieke ton</t>
  </si>
  <si>
    <t>200 pond</t>
  </si>
  <si>
    <t>Maize
Rice, Grits &amp; Samp</t>
  </si>
  <si>
    <t>Ton</t>
  </si>
  <si>
    <t>Total White Maize Products</t>
  </si>
  <si>
    <r>
      <t xml:space="preserve">Maize Meal </t>
    </r>
    <r>
      <rPr>
        <b/>
        <vertAlign val="superscript"/>
        <sz val="11"/>
        <color theme="1"/>
        <rFont val="Arial Narrow"/>
        <family val="2"/>
      </rPr>
      <t>1)</t>
    </r>
  </si>
  <si>
    <t>200 pound bags</t>
  </si>
  <si>
    <t>Total</t>
  </si>
  <si>
    <t>5)</t>
  </si>
  <si>
    <t>2)</t>
  </si>
  <si>
    <t>5. No data published for Maize Chop 1978-1997</t>
  </si>
  <si>
    <t>Total Yellow Maize Products</t>
  </si>
  <si>
    <t>1977/78  to 2015/16 - No information available on yellow maize products</t>
  </si>
  <si>
    <t>1)</t>
  </si>
  <si>
    <t>Degermed Products</t>
  </si>
  <si>
    <t xml:space="preserve">Total Maize Meal </t>
  </si>
  <si>
    <t>Total
(Maize - 
Rice, Grits &amp; Samp)</t>
  </si>
  <si>
    <t>Historic &amp; Current White Maize Products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</si>
  <si>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</si>
  <si>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</si>
  <si>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</si>
  <si>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</si>
  <si>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</si>
  <si>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</si>
  <si>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</si>
  <si>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</si>
  <si>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</si>
  <si>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</si>
  <si>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</si>
  <si>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</si>
  <si>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</si>
  <si>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</si>
  <si>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</si>
  <si>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</si>
  <si>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</si>
  <si>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</si>
  <si>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</si>
  <si>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p49 1970</t>
  </si>
  <si>
    <t>p.8 1997</t>
  </si>
  <si>
    <t>1) &amp; 1a)</t>
  </si>
  <si>
    <t>Notes:</t>
  </si>
  <si>
    <t>From 2016/17 reporting on "Other meal &amp; Flour" were replaced with 1a) "Other products intended for Human consumption"</t>
  </si>
  <si>
    <t>Agric. Abstract Diff.</t>
  </si>
  <si>
    <t>Historic &amp; Current Yellow Maize Products</t>
  </si>
  <si>
    <t>Maize Board Reports</t>
  </si>
  <si>
    <t>1949 - 1996:</t>
  </si>
  <si>
    <t>Source:</t>
  </si>
  <si>
    <t>1997 - to date:</t>
  </si>
  <si>
    <t>1961 - 1996 - Maize Board Reports</t>
  </si>
  <si>
    <t>2016 - to date: SAGIS</t>
  </si>
  <si>
    <t>Total Yellow &amp; White Whole Grain
for Human consumption</t>
  </si>
  <si>
    <t>Consumption in the Republic</t>
  </si>
  <si>
    <t>RSA Population</t>
  </si>
  <si>
    <t>Maize Whole Grain</t>
  </si>
  <si>
    <t>per Kg</t>
  </si>
  <si>
    <t>kg/head</t>
  </si>
  <si>
    <t>Whole grain: SAGIS</t>
  </si>
  <si>
    <t>Products: SAGIS</t>
  </si>
  <si>
    <t>Total Yellow &amp; White Whole Grain Maize
for Human consumption</t>
  </si>
  <si>
    <t>Total Yellow &amp; White Whole Grain
for Human consumption
- 30% Chop</t>
  </si>
  <si>
    <t>Total Maize
processed
per capita</t>
  </si>
  <si>
    <t>2018/19 *</t>
  </si>
  <si>
    <t>2018/19 - May '18 - Nov '18 (7 months)</t>
  </si>
  <si>
    <t>Updated:</t>
  </si>
  <si>
    <t>2018/19</t>
  </si>
  <si>
    <t>*2019/20 - Progressive from May 2019</t>
  </si>
  <si>
    <t>Total Wheat processed per capita</t>
  </si>
  <si>
    <t>1. Before 1960/61 white and yellow maize were published together</t>
  </si>
  <si>
    <t>2019/20</t>
  </si>
  <si>
    <t>Population updated 7 May 2021</t>
  </si>
  <si>
    <t>2020/21</t>
  </si>
  <si>
    <t>2021/22</t>
  </si>
  <si>
    <t>2022/23*</t>
  </si>
  <si>
    <t>* 2022/23</t>
  </si>
  <si>
    <t>2022</t>
  </si>
  <si>
    <t>Progressive (May to April marketing year)</t>
  </si>
  <si>
    <t>Without Chop</t>
  </si>
  <si>
    <r>
      <t xml:space="preserve">Other products intended for Human consumption 
</t>
    </r>
    <r>
      <rPr>
        <b/>
        <sz val="11"/>
        <color rgb="FF0000FF"/>
        <rFont val="Calibri"/>
        <family val="2"/>
      </rPr>
      <t>1a)</t>
    </r>
  </si>
  <si>
    <r>
      <t xml:space="preserve">Total White Maize Products
</t>
    </r>
    <r>
      <rPr>
        <b/>
        <sz val="11"/>
        <color rgb="FF0000FF"/>
        <rFont val="Calibri"/>
        <family val="2"/>
      </rPr>
      <t>2)</t>
    </r>
  </si>
  <si>
    <r>
      <t xml:space="preserve">Total White Maize Products = Maize Rice, Maize Grits, Samp and all above Maize Meal </t>
    </r>
    <r>
      <rPr>
        <b/>
        <sz val="11"/>
        <color rgb="FF0000FF"/>
        <rFont val="Calibri"/>
        <family val="2"/>
      </rPr>
      <t>(Maize Chop is not for human consumption and therefore excluded)</t>
    </r>
  </si>
  <si>
    <r>
      <rPr>
        <b/>
        <i/>
        <sz val="11"/>
        <color theme="1"/>
        <rFont val="Calibri"/>
        <family val="2"/>
      </rPr>
      <t>Total Whole Grain (Human consumption)</t>
    </r>
    <r>
      <rPr>
        <i/>
        <sz val="11"/>
        <color theme="1"/>
        <rFont val="Calibri"/>
        <family val="2"/>
      </rPr>
      <t>: Abstract of Agricultural Statistics</t>
    </r>
  </si>
  <si>
    <t>2016 - to date:</t>
  </si>
  <si>
    <r>
      <t xml:space="preserve">Other maize meal &amp; flour
</t>
    </r>
    <r>
      <rPr>
        <b/>
        <sz val="11"/>
        <color rgb="FF0000FF"/>
        <rFont val="Calibri"/>
        <family val="2"/>
      </rPr>
      <t>1)</t>
    </r>
  </si>
  <si>
    <t>2023/04/06</t>
  </si>
  <si>
    <t>2023/05/08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</si>
</sst>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0"/>
    <numFmt numFmtId="165" formatCode="_ * #,##0.00_ ;_ * \-#,##0.00_ ;_ * &quot;-&quot;??_ ;_ @_ "/>
    <numFmt numFmtId="166" formatCode="###\ ###\ ###\ ##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sz val="11"/>
      <color rgb="FFFF0000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sz val="11"/>
      <color rgb="FF222222"/>
      <name val="Arial Narrow"/>
      <family val="2"/>
    </font>
    <font>
      <b/>
      <sz val="14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i/>
      <sz val="11"/>
      <color theme="1"/>
      <name val="Calibri"/>
      <family val="2"/>
    </font>
    <font>
      <i/>
      <sz val="11"/>
      <color theme="1"/>
      <name val="Calibri"/>
      <family val="2"/>
    </font>
    <font>
      <sz val="10"/>
      <name val="Calibri"/>
      <family val="2"/>
    </font>
    <font>
      <b/>
      <sz val="11"/>
      <color rgb="FF9D87B7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ck">
        <color theme="9" tint="-0.24994659260841701"/>
      </bottom>
      <diagonal/>
    </border>
    <border>
      <left/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theme="9" tint="-0.24994659260841701"/>
      </bottom>
      <diagonal/>
    </border>
    <border>
      <left/>
      <right style="thin">
        <color indexed="64"/>
      </right>
      <top/>
      <bottom style="thick">
        <color theme="9" tint="-0.24994659260841701"/>
      </bottom>
      <diagonal/>
    </border>
    <border>
      <left style="thin">
        <color indexed="64"/>
      </left>
      <right style="thin">
        <color indexed="64"/>
      </right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/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auto="1"/>
      </left>
      <right style="double">
        <color auto="1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auto="1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39">
    <xf numFmtId="0" fontId="0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8" fillId="0" borderId="23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24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5" fillId="0" borderId="0"/>
    <xf numFmtId="0" fontId="21" fillId="0" borderId="0"/>
    <xf numFmtId="0" fontId="5" fillId="0" borderId="0"/>
    <xf numFmtId="0" fontId="5" fillId="0" borderId="0"/>
    <xf numFmtId="0" fontId="10" fillId="7" borderId="25" applyNumberFormat="0" applyAlignment="0" applyProtection="0"/>
    <xf numFmtId="0" fontId="24" fillId="0" borderId="0" applyNumberFormat="0" applyFill="0" applyBorder="0" applyAlignment="0" applyProtection="0"/>
    <xf numFmtId="0" fontId="3" fillId="0" borderId="26" applyNumberFormat="0" applyFill="0" applyAlignment="0" applyProtection="0"/>
    <xf numFmtId="0" fontId="27" fillId="0" borderId="0"/>
  </cellStyleXfs>
  <cellXfs count="298">
    <xf numFmtId="0" fontId="0" fillId="0" borderId="0" xfId="0"/>
    <xf numFmtId="0" fontId="13" fillId="0" borderId="0" xfId="0" applyFont="1"/>
    <xf numFmtId="3" fontId="13" fillId="0" borderId="2" xfId="0" applyNumberFormat="1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/>
    </xf>
    <xf numFmtId="3" fontId="13" fillId="3" borderId="5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3" borderId="9" xfId="0" applyNumberFormat="1" applyFont="1" applyFill="1" applyBorder="1" applyAlignment="1">
      <alignment horizontal="center" vertical="center"/>
    </xf>
    <xf numFmtId="3" fontId="13" fillId="0" borderId="9" xfId="0" applyNumberFormat="1" applyFont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/>
    </xf>
    <xf numFmtId="3" fontId="13" fillId="3" borderId="12" xfId="0" applyNumberFormat="1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3" borderId="1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13" fillId="0" borderId="0" xfId="0" applyNumberFormat="1" applyFont="1"/>
    <xf numFmtId="3" fontId="11" fillId="2" borderId="28" xfId="0" applyNumberFormat="1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2" borderId="3" xfId="0" applyNumberFormat="1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horizontal="center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center" vertical="center"/>
    </xf>
    <xf numFmtId="3" fontId="13" fillId="2" borderId="5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8" xfId="0" applyNumberFormat="1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horizontal="center" vertical="center"/>
    </xf>
    <xf numFmtId="3" fontId="13" fillId="2" borderId="7" xfId="0" applyNumberFormat="1" applyFont="1" applyFill="1" applyBorder="1" applyAlignment="1">
      <alignment horizontal="center" vertical="center"/>
    </xf>
    <xf numFmtId="3" fontId="13" fillId="2" borderId="15" xfId="0" applyNumberFormat="1" applyFont="1" applyFill="1" applyBorder="1" applyAlignment="1">
      <alignment horizontal="center" vertical="center"/>
    </xf>
    <xf numFmtId="3" fontId="13" fillId="2" borderId="16" xfId="0" applyNumberFormat="1" applyFont="1" applyFill="1" applyBorder="1" applyAlignment="1">
      <alignment horizontal="center" vertical="center"/>
    </xf>
    <xf numFmtId="0" fontId="13" fillId="2" borderId="0" xfId="0" applyFont="1" applyFill="1"/>
    <xf numFmtId="3" fontId="13" fillId="2" borderId="0" xfId="0" applyNumberFormat="1" applyFont="1" applyFill="1"/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3" fontId="13" fillId="2" borderId="0" xfId="0" applyNumberFormat="1" applyFont="1" applyFill="1" applyAlignment="1">
      <alignment horizontal="left"/>
    </xf>
    <xf numFmtId="3" fontId="13" fillId="2" borderId="30" xfId="0" applyNumberFormat="1" applyFont="1" applyFill="1" applyBorder="1" applyAlignment="1">
      <alignment horizontal="center" vertical="center"/>
    </xf>
    <xf numFmtId="3" fontId="13" fillId="2" borderId="31" xfId="0" applyNumberFormat="1" applyFont="1" applyFill="1" applyBorder="1" applyAlignment="1">
      <alignment horizontal="center" vertical="center"/>
    </xf>
    <xf numFmtId="3" fontId="13" fillId="2" borderId="32" xfId="0" applyNumberFormat="1" applyFont="1" applyFill="1" applyBorder="1" applyAlignment="1">
      <alignment horizontal="center" vertical="center"/>
    </xf>
    <xf numFmtId="0" fontId="13" fillId="0" borderId="33" xfId="0" applyFont="1" applyBorder="1"/>
    <xf numFmtId="3" fontId="13" fillId="2" borderId="34" xfId="0" applyNumberFormat="1" applyFont="1" applyFill="1" applyBorder="1"/>
    <xf numFmtId="3" fontId="13" fillId="2" borderId="38" xfId="0" applyNumberFormat="1" applyFont="1" applyFill="1" applyBorder="1"/>
    <xf numFmtId="3" fontId="13" fillId="2" borderId="40" xfId="0" applyNumberFormat="1" applyFont="1" applyFill="1" applyBorder="1"/>
    <xf numFmtId="3" fontId="13" fillId="2" borderId="42" xfId="0" applyNumberFormat="1" applyFont="1" applyFill="1" applyBorder="1"/>
    <xf numFmtId="3" fontId="13" fillId="0" borderId="38" xfId="0" applyNumberFormat="1" applyFont="1" applyBorder="1"/>
    <xf numFmtId="3" fontId="18" fillId="0" borderId="38" xfId="0" applyNumberFormat="1" applyFont="1" applyBorder="1"/>
    <xf numFmtId="3" fontId="18" fillId="0" borderId="38" xfId="0" quotePrefix="1" applyNumberFormat="1" applyFont="1" applyBorder="1"/>
    <xf numFmtId="3" fontId="13" fillId="2" borderId="44" xfId="0" applyNumberFormat="1" applyFont="1" applyFill="1" applyBorder="1" applyAlignment="1">
      <alignment horizontal="center" vertical="center"/>
    </xf>
    <xf numFmtId="3" fontId="13" fillId="2" borderId="45" xfId="0" applyNumberFormat="1" applyFont="1" applyFill="1" applyBorder="1" applyAlignment="1">
      <alignment horizontal="center" vertical="center"/>
    </xf>
    <xf numFmtId="3" fontId="13" fillId="2" borderId="46" xfId="0" applyNumberFormat="1" applyFont="1" applyFill="1" applyBorder="1" applyAlignment="1">
      <alignment horizontal="center" vertical="center"/>
    </xf>
    <xf numFmtId="3" fontId="13" fillId="3" borderId="44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 vertical="center"/>
    </xf>
    <xf numFmtId="3" fontId="13" fillId="0" borderId="0" xfId="0" quotePrefix="1" applyNumberFormat="1" applyFont="1"/>
    <xf numFmtId="3" fontId="13" fillId="0" borderId="37" xfId="0" applyNumberFormat="1" applyFont="1" applyBorder="1" applyAlignment="1">
      <alignment horizontal="center" vertical="center"/>
    </xf>
    <xf numFmtId="3" fontId="13" fillId="0" borderId="39" xfId="0" applyNumberFormat="1" applyFont="1" applyBorder="1" applyAlignment="1">
      <alignment horizontal="center" vertical="center"/>
    </xf>
    <xf numFmtId="3" fontId="13" fillId="0" borderId="41" xfId="0" applyNumberFormat="1" applyFont="1" applyBorder="1" applyAlignment="1">
      <alignment horizontal="center" vertical="center"/>
    </xf>
    <xf numFmtId="3" fontId="13" fillId="0" borderId="43" xfId="0" applyNumberFormat="1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 wrapText="1"/>
    </xf>
    <xf numFmtId="3" fontId="13" fillId="8" borderId="1" xfId="0" applyNumberFormat="1" applyFont="1" applyFill="1" applyBorder="1" applyAlignment="1">
      <alignment horizontal="center" vertical="center"/>
    </xf>
    <xf numFmtId="3" fontId="13" fillId="8" borderId="14" xfId="0" applyNumberFormat="1" applyFont="1" applyFill="1" applyBorder="1" applyAlignment="1">
      <alignment horizontal="center" vertical="center"/>
    </xf>
    <xf numFmtId="3" fontId="13" fillId="8" borderId="44" xfId="0" applyNumberFormat="1" applyFont="1" applyFill="1" applyBorder="1" applyAlignment="1">
      <alignment horizontal="center" vertical="center"/>
    </xf>
    <xf numFmtId="3" fontId="13" fillId="8" borderId="3" xfId="0" applyNumberFormat="1" applyFont="1" applyFill="1" applyBorder="1" applyAlignment="1">
      <alignment horizontal="center" vertical="center"/>
    </xf>
    <xf numFmtId="3" fontId="13" fillId="8" borderId="8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center" vertical="center"/>
    </xf>
    <xf numFmtId="3" fontId="13" fillId="8" borderId="3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13" fillId="8" borderId="5" xfId="0" applyNumberFormat="1" applyFont="1" applyFill="1" applyBorder="1" applyAlignment="1">
      <alignment horizontal="center" vertical="center"/>
    </xf>
    <xf numFmtId="3" fontId="13" fillId="8" borderId="1" xfId="0" applyNumberFormat="1" applyFont="1" applyFill="1" applyBorder="1" applyAlignment="1">
      <alignment horizontal="center"/>
    </xf>
    <xf numFmtId="3" fontId="13" fillId="8" borderId="14" xfId="0" applyNumberFormat="1" applyFont="1" applyFill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3" fontId="13" fillId="8" borderId="2" xfId="0" applyNumberFormat="1" applyFont="1" applyFill="1" applyBorder="1" applyAlignment="1">
      <alignment horizontal="center" vertical="center"/>
    </xf>
    <xf numFmtId="3" fontId="13" fillId="8" borderId="6" xfId="0" applyNumberFormat="1" applyFont="1" applyFill="1" applyBorder="1" applyAlignment="1">
      <alignment horizontal="center" vertical="center"/>
    </xf>
    <xf numFmtId="3" fontId="13" fillId="8" borderId="2" xfId="0" applyNumberFormat="1" applyFont="1" applyFill="1" applyBorder="1" applyAlignment="1">
      <alignment horizontal="center"/>
    </xf>
    <xf numFmtId="164" fontId="13" fillId="8" borderId="28" xfId="0" applyNumberFormat="1" applyFont="1" applyFill="1" applyBorder="1" applyAlignment="1">
      <alignment horizontal="left"/>
    </xf>
    <xf numFmtId="164" fontId="13" fillId="8" borderId="4" xfId="0" applyNumberFormat="1" applyFont="1" applyFill="1" applyBorder="1" applyAlignment="1">
      <alignment horizontal="left"/>
    </xf>
    <xf numFmtId="0" fontId="13" fillId="8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center" vertical="center"/>
    </xf>
    <xf numFmtId="0" fontId="13" fillId="8" borderId="29" xfId="0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/>
    </xf>
    <xf numFmtId="0" fontId="13" fillId="8" borderId="49" xfId="0" applyFont="1" applyFill="1" applyBorder="1" applyAlignment="1">
      <alignment horizontal="center"/>
    </xf>
    <xf numFmtId="0" fontId="13" fillId="0" borderId="50" xfId="0" applyFont="1" applyBorder="1"/>
    <xf numFmtId="0" fontId="13" fillId="0" borderId="48" xfId="0" applyFont="1" applyBorder="1"/>
    <xf numFmtId="3" fontId="11" fillId="9" borderId="4" xfId="0" applyNumberFormat="1" applyFont="1" applyFill="1" applyBorder="1" applyAlignment="1">
      <alignment horizontal="center" wrapText="1"/>
    </xf>
    <xf numFmtId="0" fontId="13" fillId="9" borderId="11" xfId="0" applyFont="1" applyFill="1" applyBorder="1"/>
    <xf numFmtId="3" fontId="12" fillId="9" borderId="35" xfId="0" applyNumberFormat="1" applyFont="1" applyFill="1" applyBorder="1"/>
    <xf numFmtId="3" fontId="13" fillId="9" borderId="2" xfId="0" applyNumberFormat="1" applyFont="1" applyFill="1" applyBorder="1"/>
    <xf numFmtId="3" fontId="13" fillId="9" borderId="3" xfId="0" applyNumberFormat="1" applyFont="1" applyFill="1" applyBorder="1"/>
    <xf numFmtId="3" fontId="13" fillId="9" borderId="1" xfId="0" applyNumberFormat="1" applyFont="1" applyFill="1" applyBorder="1"/>
    <xf numFmtId="3" fontId="13" fillId="9" borderId="14" xfId="0" applyNumberFormat="1" applyFont="1" applyFill="1" applyBorder="1"/>
    <xf numFmtId="3" fontId="18" fillId="9" borderId="1" xfId="0" applyNumberFormat="1" applyFont="1" applyFill="1" applyBorder="1"/>
    <xf numFmtId="3" fontId="18" fillId="9" borderId="1" xfId="0" quotePrefix="1" applyNumberFormat="1" applyFont="1" applyFill="1" applyBorder="1"/>
    <xf numFmtId="3" fontId="18" fillId="0" borderId="51" xfId="0" quotePrefix="1" applyNumberFormat="1" applyFont="1" applyBorder="1"/>
    <xf numFmtId="3" fontId="18" fillId="9" borderId="3" xfId="0" quotePrefix="1" applyNumberFormat="1" applyFont="1" applyFill="1" applyBorder="1"/>
    <xf numFmtId="3" fontId="13" fillId="8" borderId="3" xfId="0" applyNumberFormat="1" applyFont="1" applyFill="1" applyBorder="1" applyAlignment="1">
      <alignment horizontal="center"/>
    </xf>
    <xf numFmtId="3" fontId="13" fillId="0" borderId="52" xfId="0" applyNumberFormat="1" applyFont="1" applyBorder="1" applyAlignment="1">
      <alignment horizontal="center" vertical="center"/>
    </xf>
    <xf numFmtId="3" fontId="18" fillId="2" borderId="42" xfId="0" quotePrefix="1" applyNumberFormat="1" applyFont="1" applyFill="1" applyBorder="1"/>
    <xf numFmtId="0" fontId="11" fillId="8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13" fillId="2" borderId="3" xfId="0" applyFont="1" applyFill="1" applyBorder="1"/>
    <xf numFmtId="3" fontId="11" fillId="2" borderId="28" xfId="0" applyNumberFormat="1" applyFont="1" applyFill="1" applyBorder="1"/>
    <xf numFmtId="3" fontId="13" fillId="0" borderId="4" xfId="0" applyNumberFormat="1" applyFont="1" applyBorder="1"/>
    <xf numFmtId="3" fontId="11" fillId="2" borderId="4" xfId="0" applyNumberFormat="1" applyFont="1" applyFill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3" fontId="11" fillId="0" borderId="49" xfId="0" applyNumberFormat="1" applyFont="1" applyBorder="1" applyAlignment="1">
      <alignment horizontal="center" vertical="center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3" fontId="13" fillId="2" borderId="2" xfId="0" quotePrefix="1" applyNumberFormat="1" applyFont="1" applyFill="1" applyBorder="1" applyAlignment="1">
      <alignment horizontal="center" vertical="center"/>
    </xf>
    <xf numFmtId="3" fontId="11" fillId="2" borderId="20" xfId="0" applyNumberFormat="1" applyFont="1" applyFill="1" applyBorder="1" applyAlignment="1">
      <alignment horizontal="center" vertical="center"/>
    </xf>
    <xf numFmtId="3" fontId="11" fillId="2" borderId="29" xfId="0" applyNumberFormat="1" applyFont="1" applyFill="1" applyBorder="1" applyAlignment="1">
      <alignment horizontal="center" vertical="center"/>
    </xf>
    <xf numFmtId="3" fontId="2" fillId="2" borderId="51" xfId="0" quotePrefix="1" applyNumberFormat="1" applyFont="1" applyFill="1" applyBorder="1"/>
    <xf numFmtId="3" fontId="11" fillId="0" borderId="20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2" borderId="17" xfId="0" applyNumberFormat="1" applyFont="1" applyFill="1" applyBorder="1" applyAlignment="1">
      <alignment horizontal="center" vertical="center"/>
    </xf>
    <xf numFmtId="3" fontId="11" fillId="2" borderId="19" xfId="0" applyNumberFormat="1" applyFont="1" applyFill="1" applyBorder="1" applyAlignment="1">
      <alignment horizontal="center" vertical="center"/>
    </xf>
    <xf numFmtId="0" fontId="29" fillId="0" borderId="0" xfId="0" applyFont="1"/>
    <xf numFmtId="0" fontId="30" fillId="2" borderId="47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/>
    </xf>
    <xf numFmtId="3" fontId="29" fillId="0" borderId="0" xfId="0" applyNumberFormat="1" applyFont="1"/>
    <xf numFmtId="0" fontId="29" fillId="0" borderId="0" xfId="0" applyFont="1" applyAlignment="1">
      <alignment horizontal="center"/>
    </xf>
    <xf numFmtId="4" fontId="29" fillId="0" borderId="0" xfId="0" applyNumberFormat="1" applyFont="1"/>
    <xf numFmtId="0" fontId="30" fillId="0" borderId="0" xfId="0" applyFont="1" applyAlignment="1">
      <alignment horizontal="center" vertical="center"/>
    </xf>
    <xf numFmtId="0" fontId="31" fillId="0" borderId="57" xfId="0" applyFont="1" applyBorder="1" applyAlignment="1">
      <alignment horizontal="center" vertical="center" wrapText="1"/>
    </xf>
    <xf numFmtId="3" fontId="31" fillId="0" borderId="58" xfId="0" applyNumberFormat="1" applyFont="1" applyBorder="1" applyAlignment="1">
      <alignment horizontal="center" vertical="center" wrapText="1"/>
    </xf>
    <xf numFmtId="3" fontId="31" fillId="0" borderId="59" xfId="0" applyNumberFormat="1" applyFont="1" applyBorder="1" applyAlignment="1">
      <alignment horizontal="center" vertical="center" wrapText="1"/>
    </xf>
    <xf numFmtId="3" fontId="31" fillId="10" borderId="55" xfId="0" applyNumberFormat="1" applyFont="1" applyFill="1" applyBorder="1" applyAlignment="1">
      <alignment horizontal="center" vertical="center" wrapText="1"/>
    </xf>
    <xf numFmtId="3" fontId="31" fillId="2" borderId="60" xfId="0" applyNumberFormat="1" applyFont="1" applyFill="1" applyBorder="1" applyAlignment="1">
      <alignment horizontal="center" vertical="center" wrapText="1"/>
    </xf>
    <xf numFmtId="0" fontId="33" fillId="0" borderId="55" xfId="1" applyFont="1" applyBorder="1" applyAlignment="1">
      <alignment horizontal="center" vertical="center" wrapText="1"/>
    </xf>
    <xf numFmtId="3" fontId="31" fillId="10" borderId="36" xfId="0" applyNumberFormat="1" applyFont="1" applyFill="1" applyBorder="1" applyAlignment="1">
      <alignment horizontal="center" vertical="center" wrapText="1"/>
    </xf>
    <xf numFmtId="3" fontId="31" fillId="0" borderId="61" xfId="0" applyNumberFormat="1" applyFont="1" applyBorder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1" fillId="2" borderId="20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3" fontId="31" fillId="12" borderId="3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31" fillId="5" borderId="27" xfId="0" applyFont="1" applyFill="1" applyBorder="1" applyAlignment="1">
      <alignment horizontal="center"/>
    </xf>
    <xf numFmtId="0" fontId="31" fillId="5" borderId="50" xfId="0" applyFont="1" applyFill="1" applyBorder="1" applyAlignment="1">
      <alignment horizontal="center" vertical="center"/>
    </xf>
    <xf numFmtId="0" fontId="31" fillId="5" borderId="65" xfId="0" applyFont="1" applyFill="1" applyBorder="1" applyAlignment="1">
      <alignment horizontal="center" vertical="center"/>
    </xf>
    <xf numFmtId="0" fontId="31" fillId="5" borderId="11" xfId="0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center" vertical="center"/>
    </xf>
    <xf numFmtId="0" fontId="31" fillId="5" borderId="49" xfId="0" applyFont="1" applyFill="1" applyBorder="1" applyAlignment="1">
      <alignment horizontal="center"/>
    </xf>
    <xf numFmtId="0" fontId="29" fillId="0" borderId="71" xfId="0" applyFont="1" applyBorder="1"/>
    <xf numFmtId="3" fontId="29" fillId="0" borderId="72" xfId="0" applyNumberFormat="1" applyFont="1" applyBorder="1"/>
    <xf numFmtId="3" fontId="29" fillId="0" borderId="73" xfId="0" applyNumberFormat="1" applyFont="1" applyBorder="1"/>
    <xf numFmtId="3" fontId="29" fillId="10" borderId="74" xfId="0" applyNumberFormat="1" applyFont="1" applyFill="1" applyBorder="1"/>
    <xf numFmtId="3" fontId="29" fillId="2" borderId="75" xfId="0" applyNumberFormat="1" applyFont="1" applyFill="1" applyBorder="1" applyAlignment="1">
      <alignment vertical="center"/>
    </xf>
    <xf numFmtId="3" fontId="29" fillId="2" borderId="72" xfId="0" applyNumberFormat="1" applyFont="1" applyFill="1" applyBorder="1" applyAlignment="1">
      <alignment vertical="center"/>
    </xf>
    <xf numFmtId="0" fontId="29" fillId="0" borderId="76" xfId="0" applyFont="1" applyBorder="1"/>
    <xf numFmtId="3" fontId="31" fillId="10" borderId="73" xfId="0" applyNumberFormat="1" applyFont="1" applyFill="1" applyBorder="1"/>
    <xf numFmtId="3" fontId="29" fillId="0" borderId="77" xfId="0" applyNumberFormat="1" applyFont="1" applyBorder="1"/>
    <xf numFmtId="3" fontId="29" fillId="0" borderId="78" xfId="0" applyNumberFormat="1" applyFont="1" applyBorder="1"/>
    <xf numFmtId="3" fontId="29" fillId="0" borderId="76" xfId="0" applyNumberFormat="1" applyFont="1" applyBorder="1"/>
    <xf numFmtId="3" fontId="29" fillId="2" borderId="71" xfId="0" applyNumberFormat="1" applyFont="1" applyFill="1" applyBorder="1"/>
    <xf numFmtId="1" fontId="29" fillId="0" borderId="73" xfId="0" applyNumberFormat="1" applyFont="1" applyBorder="1" applyAlignment="1">
      <alignment horizontal="center"/>
    </xf>
    <xf numFmtId="1" fontId="29" fillId="0" borderId="79" xfId="0" applyNumberFormat="1" applyFont="1" applyBorder="1"/>
    <xf numFmtId="3" fontId="29" fillId="12" borderId="79" xfId="0" applyNumberFormat="1" applyFont="1" applyFill="1" applyBorder="1" applyAlignment="1">
      <alignment horizontal="center"/>
    </xf>
    <xf numFmtId="0" fontId="29" fillId="0" borderId="80" xfId="0" applyFont="1" applyBorder="1"/>
    <xf numFmtId="3" fontId="29" fillId="0" borderId="81" xfId="0" applyNumberFormat="1" applyFont="1" applyBorder="1"/>
    <xf numFmtId="3" fontId="29" fillId="0" borderId="82" xfId="0" applyNumberFormat="1" applyFont="1" applyBorder="1"/>
    <xf numFmtId="3" fontId="29" fillId="10" borderId="83" xfId="0" applyNumberFormat="1" applyFont="1" applyFill="1" applyBorder="1"/>
    <xf numFmtId="3" fontId="29" fillId="2" borderId="84" xfId="0" applyNumberFormat="1" applyFont="1" applyFill="1" applyBorder="1" applyAlignment="1">
      <alignment vertical="center"/>
    </xf>
    <xf numFmtId="3" fontId="29" fillId="2" borderId="81" xfId="0" applyNumberFormat="1" applyFont="1" applyFill="1" applyBorder="1" applyAlignment="1">
      <alignment vertical="center"/>
    </xf>
    <xf numFmtId="0" fontId="29" fillId="0" borderId="85" xfId="0" applyFont="1" applyBorder="1"/>
    <xf numFmtId="3" fontId="31" fillId="10" borderId="82" xfId="0" applyNumberFormat="1" applyFont="1" applyFill="1" applyBorder="1"/>
    <xf numFmtId="3" fontId="29" fillId="0" borderId="86" xfId="0" applyNumberFormat="1" applyFont="1" applyBorder="1"/>
    <xf numFmtId="3" fontId="29" fillId="0" borderId="85" xfId="0" applyNumberFormat="1" applyFont="1" applyBorder="1"/>
    <xf numFmtId="3" fontId="29" fillId="2" borderId="80" xfId="0" applyNumberFormat="1" applyFont="1" applyFill="1" applyBorder="1"/>
    <xf numFmtId="1" fontId="29" fillId="0" borderId="82" xfId="0" applyNumberFormat="1" applyFont="1" applyBorder="1" applyAlignment="1">
      <alignment horizontal="center"/>
    </xf>
    <xf numFmtId="1" fontId="29" fillId="0" borderId="87" xfId="0" applyNumberFormat="1" applyFont="1" applyBorder="1"/>
    <xf numFmtId="3" fontId="29" fillId="12" borderId="87" xfId="0" applyNumberFormat="1" applyFont="1" applyFill="1" applyBorder="1" applyAlignment="1">
      <alignment horizontal="center"/>
    </xf>
    <xf numFmtId="3" fontId="29" fillId="2" borderId="84" xfId="0" applyNumberFormat="1" applyFont="1" applyFill="1" applyBorder="1"/>
    <xf numFmtId="3" fontId="29" fillId="0" borderId="84" xfId="0" applyNumberFormat="1" applyFont="1" applyBorder="1"/>
    <xf numFmtId="3" fontId="29" fillId="0" borderId="80" xfId="0" applyNumberFormat="1" applyFont="1" applyBorder="1"/>
    <xf numFmtId="0" fontId="29" fillId="0" borderId="86" xfId="0" applyFont="1" applyBorder="1"/>
    <xf numFmtId="17" fontId="29" fillId="0" borderId="80" xfId="0" quotePrefix="1" applyNumberFormat="1" applyFont="1" applyBorder="1"/>
    <xf numFmtId="0" fontId="29" fillId="0" borderId="80" xfId="0" quotePrefix="1" applyFont="1" applyBorder="1"/>
    <xf numFmtId="3" fontId="29" fillId="11" borderId="81" xfId="0" applyNumberFormat="1" applyFont="1" applyFill="1" applyBorder="1"/>
    <xf numFmtId="3" fontId="29" fillId="0" borderId="88" xfId="0" applyNumberFormat="1" applyFont="1" applyBorder="1"/>
    <xf numFmtId="3" fontId="31" fillId="10" borderId="87" xfId="0" applyNumberFormat="1" applyFont="1" applyFill="1" applyBorder="1"/>
    <xf numFmtId="1" fontId="29" fillId="0" borderId="81" xfId="0" applyNumberFormat="1" applyFont="1" applyBorder="1" applyAlignment="1">
      <alignment horizontal="center"/>
    </xf>
    <xf numFmtId="3" fontId="23" fillId="0" borderId="86" xfId="0" applyNumberFormat="1" applyFont="1" applyBorder="1"/>
    <xf numFmtId="3" fontId="35" fillId="0" borderId="0" xfId="0" applyNumberFormat="1" applyFont="1"/>
    <xf numFmtId="0" fontId="35" fillId="0" borderId="86" xfId="0" applyFont="1" applyBorder="1"/>
    <xf numFmtId="0" fontId="35" fillId="0" borderId="85" xfId="0" applyFont="1" applyBorder="1"/>
    <xf numFmtId="3" fontId="35" fillId="0" borderId="85" xfId="0" applyNumberFormat="1" applyFont="1" applyBorder="1"/>
    <xf numFmtId="3" fontId="29" fillId="5" borderId="80" xfId="0" applyNumberFormat="1" applyFont="1" applyFill="1" applyBorder="1"/>
    <xf numFmtId="3" fontId="23" fillId="2" borderId="86" xfId="0" applyNumberFormat="1" applyFont="1" applyFill="1" applyBorder="1"/>
    <xf numFmtId="3" fontId="29" fillId="2" borderId="81" xfId="0" applyNumberFormat="1" applyFont="1" applyFill="1" applyBorder="1"/>
    <xf numFmtId="0" fontId="29" fillId="0" borderId="89" xfId="0" applyFont="1" applyBorder="1"/>
    <xf numFmtId="3" fontId="29" fillId="0" borderId="90" xfId="0" applyNumberFormat="1" applyFont="1" applyBorder="1"/>
    <xf numFmtId="3" fontId="29" fillId="10" borderId="91" xfId="0" applyNumberFormat="1" applyFont="1" applyFill="1" applyBorder="1"/>
    <xf numFmtId="3" fontId="29" fillId="11" borderId="90" xfId="0" applyNumberFormat="1" applyFont="1" applyFill="1" applyBorder="1"/>
    <xf numFmtId="3" fontId="29" fillId="0" borderId="92" xfId="0" applyNumberFormat="1" applyFont="1" applyBorder="1"/>
    <xf numFmtId="3" fontId="31" fillId="10" borderId="93" xfId="0" applyNumberFormat="1" applyFont="1" applyFill="1" applyBorder="1"/>
    <xf numFmtId="0" fontId="35" fillId="0" borderId="94" xfId="0" applyFont="1" applyBorder="1"/>
    <xf numFmtId="0" fontId="35" fillId="0" borderId="95" xfId="0" applyFont="1" applyBorder="1"/>
    <xf numFmtId="3" fontId="35" fillId="0" borderId="95" xfId="0" applyNumberFormat="1" applyFont="1" applyBorder="1"/>
    <xf numFmtId="3" fontId="29" fillId="0" borderId="89" xfId="0" applyNumberFormat="1" applyFont="1" applyBorder="1"/>
    <xf numFmtId="1" fontId="29" fillId="0" borderId="96" xfId="0" applyNumberFormat="1" applyFont="1" applyBorder="1" applyAlignment="1">
      <alignment horizontal="center"/>
    </xf>
    <xf numFmtId="1" fontId="29" fillId="0" borderId="93" xfId="0" applyNumberFormat="1" applyFont="1" applyBorder="1"/>
    <xf numFmtId="3" fontId="29" fillId="12" borderId="93" xfId="0" applyNumberFormat="1" applyFont="1" applyFill="1" applyBorder="1" applyAlignment="1">
      <alignment horizontal="center"/>
    </xf>
    <xf numFmtId="0" fontId="36" fillId="0" borderId="0" xfId="0" applyFont="1"/>
    <xf numFmtId="14" fontId="29" fillId="5" borderId="0" xfId="0" quotePrefix="1" applyNumberFormat="1" applyFont="1" applyFill="1" applyAlignment="1">
      <alignment horizontal="center"/>
    </xf>
    <xf numFmtId="3" fontId="29" fillId="0" borderId="0" xfId="0" applyNumberFormat="1" applyFont="1" applyAlignment="1">
      <alignment horizontal="center"/>
    </xf>
    <xf numFmtId="0" fontId="32" fillId="0" borderId="0" xfId="0" applyFont="1"/>
    <xf numFmtId="3" fontId="29" fillId="0" borderId="0" xfId="0" quotePrefix="1" applyNumberFormat="1" applyFont="1"/>
    <xf numFmtId="0" fontId="37" fillId="0" borderId="0" xfId="0" applyFont="1"/>
    <xf numFmtId="3" fontId="37" fillId="0" borderId="0" xfId="0" applyNumberFormat="1" applyFont="1"/>
    <xf numFmtId="0" fontId="29" fillId="0" borderId="0" xfId="0" applyFont="1" applyAlignment="1">
      <alignment horizontal="left" wrapText="1"/>
    </xf>
    <xf numFmtId="3" fontId="38" fillId="2" borderId="0" xfId="38" applyNumberFormat="1" applyFont="1" applyFill="1" applyAlignment="1">
      <alignment vertical="center"/>
    </xf>
    <xf numFmtId="3" fontId="39" fillId="0" borderId="0" xfId="0" applyNumberFormat="1" applyFont="1"/>
    <xf numFmtId="14" fontId="40" fillId="0" borderId="0" xfId="0" quotePrefix="1" applyNumberFormat="1" applyFont="1" applyAlignment="1">
      <alignment horizontal="left"/>
    </xf>
    <xf numFmtId="3" fontId="40" fillId="0" borderId="0" xfId="0" applyNumberFormat="1" applyFont="1"/>
    <xf numFmtId="0" fontId="41" fillId="2" borderId="47" xfId="0" applyFont="1" applyFill="1" applyBorder="1" applyAlignment="1">
      <alignment vertical="center"/>
    </xf>
    <xf numFmtId="3" fontId="3" fillId="2" borderId="28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0" borderId="49" xfId="0" applyNumberFormat="1" applyFont="1" applyBorder="1" applyAlignment="1">
      <alignment horizontal="center" vertical="center" wrapText="1"/>
    </xf>
    <xf numFmtId="3" fontId="0" fillId="0" borderId="34" xfId="0" applyNumberFormat="1" applyBorder="1"/>
    <xf numFmtId="3" fontId="0" fillId="0" borderId="35" xfId="0" applyNumberFormat="1" applyBorder="1"/>
    <xf numFmtId="3" fontId="0" fillId="0" borderId="67" xfId="0" applyNumberFormat="1" applyBorder="1"/>
    <xf numFmtId="3" fontId="25" fillId="0" borderId="35" xfId="0" applyNumberFormat="1" applyFont="1" applyBorder="1" applyAlignment="1">
      <alignment horizontal="right"/>
    </xf>
    <xf numFmtId="3" fontId="0" fillId="0" borderId="37" xfId="0" applyNumberFormat="1" applyBorder="1"/>
    <xf numFmtId="1" fontId="0" fillId="0" borderId="0" xfId="0" applyNumberFormat="1"/>
    <xf numFmtId="3" fontId="0" fillId="0" borderId="38" xfId="0" applyNumberFormat="1" applyBorder="1"/>
    <xf numFmtId="3" fontId="0" fillId="0" borderId="1" xfId="0" applyNumberFormat="1" applyBorder="1"/>
    <xf numFmtId="3" fontId="0" fillId="0" borderId="39" xfId="0" applyNumberFormat="1" applyBorder="1"/>
    <xf numFmtId="3" fontId="0" fillId="0" borderId="42" xfId="0" applyNumberFormat="1" applyBorder="1"/>
    <xf numFmtId="3" fontId="0" fillId="0" borderId="1" xfId="0" applyNumberFormat="1" applyBorder="1" applyAlignment="1">
      <alignment horizontal="right"/>
    </xf>
    <xf numFmtId="3" fontId="0" fillId="0" borderId="39" xfId="0" applyNumberFormat="1" applyBorder="1" applyAlignment="1">
      <alignment horizontal="right"/>
    </xf>
    <xf numFmtId="3" fontId="0" fillId="0" borderId="38" xfId="0" quotePrefix="1" applyNumberFormat="1" applyBorder="1"/>
    <xf numFmtId="3" fontId="42" fillId="0" borderId="38" xfId="0" quotePrefix="1" applyNumberFormat="1" applyFont="1" applyBorder="1"/>
    <xf numFmtId="3" fontId="0" fillId="0" borderId="51" xfId="0" quotePrefix="1" applyNumberFormat="1" applyBorder="1"/>
    <xf numFmtId="3" fontId="0" fillId="0" borderId="3" xfId="0" applyNumberFormat="1" applyBorder="1"/>
    <xf numFmtId="3" fontId="0" fillId="0" borderId="52" xfId="0" applyNumberFormat="1" applyBorder="1"/>
    <xf numFmtId="3" fontId="0" fillId="0" borderId="62" xfId="0" quotePrefix="1" applyNumberFormat="1" applyBorder="1"/>
    <xf numFmtId="3" fontId="0" fillId="0" borderId="63" xfId="0" applyNumberFormat="1" applyBorder="1"/>
    <xf numFmtId="3" fontId="0" fillId="0" borderId="69" xfId="0" applyNumberFormat="1" applyBorder="1"/>
    <xf numFmtId="0" fontId="0" fillId="0" borderId="61" xfId="0" applyBorder="1"/>
    <xf numFmtId="3" fontId="0" fillId="0" borderId="56" xfId="0" quotePrefix="1" applyNumberFormat="1" applyBorder="1"/>
    <xf numFmtId="3" fontId="0" fillId="0" borderId="54" xfId="0" applyNumberFormat="1" applyBorder="1"/>
    <xf numFmtId="3" fontId="0" fillId="0" borderId="64" xfId="0" applyNumberFormat="1" applyBorder="1"/>
    <xf numFmtId="3" fontId="0" fillId="0" borderId="70" xfId="0" applyNumberFormat="1" applyBorder="1"/>
    <xf numFmtId="3" fontId="43" fillId="0" borderId="0" xfId="0" applyNumberFormat="1" applyFont="1"/>
    <xf numFmtId="3" fontId="4" fillId="0" borderId="0" xfId="0" applyNumberFormat="1" applyFont="1"/>
    <xf numFmtId="3" fontId="26" fillId="0" borderId="0" xfId="0" applyNumberFormat="1" applyFont="1"/>
    <xf numFmtId="0" fontId="44" fillId="0" borderId="0" xfId="0" applyFont="1"/>
    <xf numFmtId="3" fontId="0" fillId="0" borderId="0" xfId="0" applyNumberFormat="1"/>
    <xf numFmtId="14" fontId="0" fillId="0" borderId="0" xfId="0" quotePrefix="1" applyNumberFormat="1" applyAlignment="1">
      <alignment horizontal="left"/>
    </xf>
    <xf numFmtId="0" fontId="3" fillId="2" borderId="47" xfId="0" applyFont="1" applyFill="1" applyBorder="1" applyAlignment="1">
      <alignment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166" fontId="42" fillId="0" borderId="54" xfId="0" applyNumberFormat="1" applyFont="1" applyBorder="1"/>
    <xf numFmtId="3" fontId="23" fillId="13" borderId="94" xfId="0" applyNumberFormat="1" applyFont="1" applyFill="1" applyBorder="1"/>
    <xf numFmtId="3" fontId="29" fillId="13" borderId="0" xfId="0" quotePrefix="1" applyNumberFormat="1" applyFont="1" applyFill="1" applyAlignment="1">
      <alignment horizontal="right"/>
    </xf>
    <xf numFmtId="14" fontId="29" fillId="0" borderId="0" xfId="0" quotePrefix="1" applyNumberFormat="1" applyFont="1" applyAlignment="1">
      <alignment horizontal="right"/>
    </xf>
    <xf numFmtId="0" fontId="34" fillId="5" borderId="17" xfId="0" applyFont="1" applyFill="1" applyBorder="1" applyAlignment="1">
      <alignment horizontal="center"/>
    </xf>
    <xf numFmtId="0" fontId="34" fillId="5" borderId="18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3" fontId="3" fillId="5" borderId="17" xfId="0" applyNumberFormat="1" applyFont="1" applyFill="1" applyBorder="1" applyAlignment="1">
      <alignment horizontal="center" vertical="center" wrapText="1"/>
    </xf>
    <xf numFmtId="3" fontId="3" fillId="5" borderId="18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>
      <alignment horizontal="center" vertical="center" wrapText="1"/>
    </xf>
    <xf numFmtId="3" fontId="3" fillId="4" borderId="53" xfId="0" applyNumberFormat="1" applyFont="1" applyFill="1" applyBorder="1" applyAlignment="1">
      <alignment horizontal="center"/>
    </xf>
    <xf numFmtId="3" fontId="3" fillId="4" borderId="13" xfId="0" applyNumberFormat="1" applyFont="1" applyFill="1" applyBorder="1" applyAlignment="1">
      <alignment horizontal="center"/>
    </xf>
    <xf numFmtId="3" fontId="3" fillId="4" borderId="68" xfId="0" applyNumberFormat="1" applyFont="1" applyFill="1" applyBorder="1" applyAlignment="1">
      <alignment horizontal="center"/>
    </xf>
    <xf numFmtId="3" fontId="13" fillId="2" borderId="0" xfId="0" applyNumberFormat="1" applyFont="1" applyFill="1" applyAlignment="1">
      <alignment horizontal="left" wrapText="1"/>
    </xf>
    <xf numFmtId="3" fontId="1" fillId="2" borderId="0" xfId="0" applyNumberFormat="1" applyFont="1" applyFill="1" applyAlignment="1">
      <alignment horizontal="left" wrapText="1"/>
    </xf>
    <xf numFmtId="0" fontId="11" fillId="2" borderId="0" xfId="0" applyFont="1" applyFill="1" applyAlignment="1">
      <alignment horizontal="center" vertical="center"/>
    </xf>
    <xf numFmtId="0" fontId="20" fillId="2" borderId="17" xfId="0" quotePrefix="1" applyFont="1" applyFill="1" applyBorder="1" applyAlignment="1">
      <alignment horizontal="center" vertical="center" wrapText="1"/>
    </xf>
    <xf numFmtId="0" fontId="20" fillId="2" borderId="18" xfId="0" quotePrefix="1" applyFont="1" applyFill="1" applyBorder="1" applyAlignment="1">
      <alignment horizontal="center" vertical="center" wrapText="1"/>
    </xf>
    <xf numFmtId="0" fontId="20" fillId="2" borderId="19" xfId="0" quotePrefix="1" applyFont="1" applyFill="1" applyBorder="1" applyAlignment="1">
      <alignment horizontal="center" vertical="center" wrapText="1"/>
    </xf>
    <xf numFmtId="3" fontId="20" fillId="3" borderId="17" xfId="0" applyNumberFormat="1" applyFont="1" applyFill="1" applyBorder="1" applyAlignment="1">
      <alignment horizontal="center"/>
    </xf>
    <xf numFmtId="3" fontId="20" fillId="3" borderId="18" xfId="0" applyNumberFormat="1" applyFont="1" applyFill="1" applyBorder="1" applyAlignment="1">
      <alignment horizontal="center"/>
    </xf>
    <xf numFmtId="3" fontId="20" fillId="3" borderId="19" xfId="0" applyNumberFormat="1" applyFont="1" applyFill="1" applyBorder="1" applyAlignment="1">
      <alignment horizontal="center"/>
    </xf>
  </cellXfs>
  <cellStyles count="39">
    <cellStyle name="Comma 2" xfId="2" xr:uid="{00000000-0005-0000-0000-000000000000}"/>
    <cellStyle name="Comma 2 2" xfId="3" xr:uid="{00000000-0005-0000-0000-000001000000}"/>
    <cellStyle name="Comma 3" xfId="4" xr:uid="{00000000-0005-0000-0000-000002000000}"/>
    <cellStyle name="Comma 3 2" xfId="5" xr:uid="{00000000-0005-0000-0000-000003000000}"/>
    <cellStyle name="Comma 4" xfId="6" xr:uid="{00000000-0005-0000-0000-000004000000}"/>
    <cellStyle name="Comma 4 2" xfId="7" xr:uid="{00000000-0005-0000-0000-000005000000}"/>
    <cellStyle name="Comma 5" xfId="8" xr:uid="{00000000-0005-0000-0000-000006000000}"/>
    <cellStyle name="Comma 5 2" xfId="9" xr:uid="{00000000-0005-0000-0000-000007000000}"/>
    <cellStyle name="Comma 6 2" xfId="10" xr:uid="{00000000-0005-0000-0000-000008000000}"/>
    <cellStyle name="Comma 7" xfId="11" xr:uid="{00000000-0005-0000-0000-000009000000}"/>
    <cellStyle name="Comma 7 2" xfId="12" xr:uid="{00000000-0005-0000-0000-00000A000000}"/>
    <cellStyle name="Heading 1 2" xfId="13" xr:uid="{00000000-0005-0000-0000-00000B000000}"/>
    <cellStyle name="Heading 2 2" xfId="14" xr:uid="{00000000-0005-0000-0000-00000C000000}"/>
    <cellStyle name="Heading 3 2" xfId="15" xr:uid="{00000000-0005-0000-0000-00000D000000}"/>
    <cellStyle name="Heading 4 2" xfId="16" xr:uid="{00000000-0005-0000-0000-00000E000000}"/>
    <cellStyle name="Input 2" xfId="17" xr:uid="{00000000-0005-0000-0000-00000F000000}"/>
    <cellStyle name="Normal" xfId="0" builtinId="0"/>
    <cellStyle name="Normal 10" xfId="18" xr:uid="{00000000-0005-0000-0000-000011000000}"/>
    <cellStyle name="Normal 11" xfId="19" xr:uid="{00000000-0005-0000-0000-000012000000}"/>
    <cellStyle name="Normal 12" xfId="20" xr:uid="{00000000-0005-0000-0000-000013000000}"/>
    <cellStyle name="Normal 13" xfId="21" xr:uid="{00000000-0005-0000-0000-000014000000}"/>
    <cellStyle name="Normal 14" xfId="22" xr:uid="{00000000-0005-0000-0000-000015000000}"/>
    <cellStyle name="Normal 15" xfId="23" xr:uid="{00000000-0005-0000-0000-000016000000}"/>
    <cellStyle name="Normal 16" xfId="1" xr:uid="{00000000-0005-0000-0000-000017000000}"/>
    <cellStyle name="Normal 17" xfId="38" xr:uid="{00000000-0005-0000-0000-000018000000}"/>
    <cellStyle name="Normal 2" xfId="24" xr:uid="{00000000-0005-0000-0000-000019000000}"/>
    <cellStyle name="Normal 2 2" xfId="25" xr:uid="{00000000-0005-0000-0000-00001A000000}"/>
    <cellStyle name="Normal 3" xfId="26" xr:uid="{00000000-0005-0000-0000-00001B000000}"/>
    <cellStyle name="Normal 4" xfId="27" xr:uid="{00000000-0005-0000-0000-00001C000000}"/>
    <cellStyle name="Normal 5" xfId="28" xr:uid="{00000000-0005-0000-0000-00001D000000}"/>
    <cellStyle name="Normal 5 2" xfId="29" xr:uid="{00000000-0005-0000-0000-00001E000000}"/>
    <cellStyle name="Normal 6" xfId="30" xr:uid="{00000000-0005-0000-0000-00001F000000}"/>
    <cellStyle name="Normal 7" xfId="31" xr:uid="{00000000-0005-0000-0000-000020000000}"/>
    <cellStyle name="Normal 7 2" xfId="32" xr:uid="{00000000-0005-0000-0000-000021000000}"/>
    <cellStyle name="Normal 8" xfId="33" xr:uid="{00000000-0005-0000-0000-000022000000}"/>
    <cellStyle name="Normal 9" xfId="34" xr:uid="{00000000-0005-0000-0000-000023000000}"/>
    <cellStyle name="Output 2" xfId="35" xr:uid="{00000000-0005-0000-0000-000024000000}"/>
    <cellStyle name="Title 2" xfId="36" xr:uid="{00000000-0005-0000-0000-000025000000}"/>
    <cellStyle name="Total 2" xfId="37" xr:uid="{00000000-0005-0000-0000-000026000000}"/>
  </cellStyles>
  <dxfs count="0"/>
  <tableStyles count="0" defaultTableStyle="TableStyleMedium2" defaultPivotStyle="PivotStyleLight16"/>
  <colors>
    <mruColors>
      <color rgb="FF0000FF"/>
      <color rgb="FFD96709"/>
      <color rgb="FF9D87B7"/>
      <color rgb="FFFFFFEF"/>
      <color rgb="FFFF00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367349919287475"/>
          <c:y val="6.250000000000000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037184199041787E-2"/>
          <c:y val="0.12606774934383203"/>
          <c:w val="0.89020446742871462"/>
          <c:h val="0.77088648293963258"/>
        </c:manualLayout>
      </c:layout>
      <c:lineChart>
        <c:grouping val="standard"/>
        <c:varyColors val="0"/>
        <c:ser>
          <c:idx val="0"/>
          <c:order val="0"/>
          <c:tx>
            <c:v>Sifted WM Meal</c:v>
          </c:tx>
          <c:spPr>
            <a:ln>
              <a:solidFill>
                <a:srgbClr val="9D87B7"/>
              </a:solidFill>
            </a:ln>
          </c:spPr>
          <c:marker>
            <c:symbol val="none"/>
          </c:marker>
          <c:cat>
            <c:strRef>
              <c:f>'Hist &amp; Current WM Products'!$A$30:$A$76</c:f>
              <c:strCache>
                <c:ptCount val="47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</c:strCache>
            </c:strRef>
          </c:cat>
          <c:val>
            <c:numRef>
              <c:f>'Hist &amp; Current WM Products'!$F$30:$F$76</c:f>
              <c:numCache>
                <c:formatCode>#,##0</c:formatCode>
                <c:ptCount val="47"/>
                <c:pt idx="0">
                  <c:v>915000</c:v>
                </c:pt>
                <c:pt idx="1">
                  <c:v>965000</c:v>
                </c:pt>
                <c:pt idx="2">
                  <c:v>1017000</c:v>
                </c:pt>
                <c:pt idx="3">
                  <c:v>872000</c:v>
                </c:pt>
                <c:pt idx="4">
                  <c:v>915000</c:v>
                </c:pt>
                <c:pt idx="5">
                  <c:v>834000</c:v>
                </c:pt>
                <c:pt idx="6">
                  <c:v>778000</c:v>
                </c:pt>
                <c:pt idx="7">
                  <c:v>775000</c:v>
                </c:pt>
                <c:pt idx="8">
                  <c:v>779000</c:v>
                </c:pt>
                <c:pt idx="9">
                  <c:v>735000</c:v>
                </c:pt>
                <c:pt idx="10">
                  <c:v>749000</c:v>
                </c:pt>
                <c:pt idx="11">
                  <c:v>709000</c:v>
                </c:pt>
                <c:pt idx="12">
                  <c:v>668000</c:v>
                </c:pt>
                <c:pt idx="13">
                  <c:v>568000</c:v>
                </c:pt>
                <c:pt idx="14">
                  <c:v>529000</c:v>
                </c:pt>
                <c:pt idx="15">
                  <c:v>507000</c:v>
                </c:pt>
                <c:pt idx="16">
                  <c:v>515000</c:v>
                </c:pt>
                <c:pt idx="17">
                  <c:v>592000</c:v>
                </c:pt>
                <c:pt idx="18">
                  <c:v>620000</c:v>
                </c:pt>
                <c:pt idx="19">
                  <c:v>592000</c:v>
                </c:pt>
                <c:pt idx="20">
                  <c:v>548000</c:v>
                </c:pt>
                <c:pt idx="21">
                  <c:v>461000</c:v>
                </c:pt>
                <c:pt idx="41">
                  <c:v>28005</c:v>
                </c:pt>
                <c:pt idx="42">
                  <c:v>37556</c:v>
                </c:pt>
                <c:pt idx="43">
                  <c:v>28439</c:v>
                </c:pt>
                <c:pt idx="44">
                  <c:v>22100</c:v>
                </c:pt>
                <c:pt idx="45">
                  <c:v>21881</c:v>
                </c:pt>
                <c:pt idx="46">
                  <c:v>22311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D7-4544-9B52-FBC9CA155ADE}"/>
            </c:ext>
          </c:extLst>
        </c:ser>
        <c:ser>
          <c:idx val="2"/>
          <c:order val="1"/>
          <c:tx>
            <c:v>Special WM Meal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2310437570895411E-2"/>
                  <c:y val="-4.3749999999999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15-4B05-AE01-B3B9A2694DD0}"/>
                </c:ext>
              </c:extLst>
            </c:dLbl>
            <c:dLbl>
              <c:idx val="10"/>
              <c:layout>
                <c:manualLayout>
                  <c:x val="-2.5988701538557028E-2"/>
                  <c:y val="-4.1666666666666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15-4B05-AE01-B3B9A2694DD0}"/>
                </c:ext>
              </c:extLst>
            </c:dLbl>
            <c:dLbl>
              <c:idx val="21"/>
              <c:layout>
                <c:manualLayout>
                  <c:x val="-3.2838388403244802E-2"/>
                  <c:y val="-2.5029035433070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EF-45E8-8E43-35BF9518FC2C}"/>
                </c:ext>
              </c:extLst>
            </c:dLbl>
            <c:dLbl>
              <c:idx val="32"/>
              <c:layout>
                <c:manualLayout>
                  <c:x val="-3.0101890698246429E-2"/>
                  <c:y val="-4.1638982480971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EF-45E8-8E43-35BF9518FC2C}"/>
                </c:ext>
              </c:extLst>
            </c:dLbl>
            <c:dLbl>
              <c:idx val="41"/>
              <c:layout>
                <c:manualLayout>
                  <c:x val="-4.7788659090005021E-2"/>
                  <c:y val="-3.7653479932638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9-4EAA-AB5D-D3825813ACD3}"/>
                </c:ext>
              </c:extLst>
            </c:dLbl>
            <c:dLbl>
              <c:idx val="46"/>
              <c:layout>
                <c:manualLayout>
                  <c:x val="1.0754418981169987E-16"/>
                  <c:y val="-2.432045939496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82-4C93-99CA-18F6340918A8}"/>
                </c:ext>
              </c:extLst>
            </c:dLbl>
            <c:dLbl>
              <c:idx val="47"/>
              <c:layout>
                <c:manualLayout>
                  <c:x val="-1.2314409831100713E-2"/>
                  <c:y val="-1.873754211643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EF-45E8-8E43-35BF9518FC2C}"/>
                </c:ext>
              </c:extLst>
            </c:dLbl>
            <c:dLbl>
              <c:idx val="68"/>
              <c:layout>
                <c:manualLayout>
                  <c:x val="-1.6419213108134417E-2"/>
                  <c:y val="-4.9966778977166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Products'!$A$30:$A$76</c:f>
              <c:strCache>
                <c:ptCount val="47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</c:strCache>
            </c:strRef>
          </c:cat>
          <c:val>
            <c:numRef>
              <c:f>'Hist &amp; Current WM Products'!$G$30:$G$76</c:f>
              <c:numCache>
                <c:formatCode>#,##0</c:formatCode>
                <c:ptCount val="47"/>
                <c:pt idx="0">
                  <c:v>617000</c:v>
                </c:pt>
                <c:pt idx="1">
                  <c:v>638000</c:v>
                </c:pt>
                <c:pt idx="2">
                  <c:v>699000</c:v>
                </c:pt>
                <c:pt idx="3">
                  <c:v>742000</c:v>
                </c:pt>
                <c:pt idx="4">
                  <c:v>809000</c:v>
                </c:pt>
                <c:pt idx="5">
                  <c:v>761000</c:v>
                </c:pt>
                <c:pt idx="6">
                  <c:v>798000</c:v>
                </c:pt>
                <c:pt idx="7">
                  <c:v>927000</c:v>
                </c:pt>
                <c:pt idx="8">
                  <c:v>931000</c:v>
                </c:pt>
                <c:pt idx="9">
                  <c:v>854000</c:v>
                </c:pt>
                <c:pt idx="10">
                  <c:v>900000</c:v>
                </c:pt>
                <c:pt idx="11">
                  <c:v>832000</c:v>
                </c:pt>
                <c:pt idx="12">
                  <c:v>870000</c:v>
                </c:pt>
                <c:pt idx="13">
                  <c:v>861000</c:v>
                </c:pt>
                <c:pt idx="14">
                  <c:v>902000</c:v>
                </c:pt>
                <c:pt idx="15">
                  <c:v>930000</c:v>
                </c:pt>
                <c:pt idx="16">
                  <c:v>954000</c:v>
                </c:pt>
                <c:pt idx="17">
                  <c:v>963000</c:v>
                </c:pt>
                <c:pt idx="18">
                  <c:v>971000</c:v>
                </c:pt>
                <c:pt idx="19">
                  <c:v>945000</c:v>
                </c:pt>
                <c:pt idx="20">
                  <c:v>936000</c:v>
                </c:pt>
                <c:pt idx="21">
                  <c:v>968000</c:v>
                </c:pt>
                <c:pt idx="41">
                  <c:v>401344</c:v>
                </c:pt>
                <c:pt idx="42">
                  <c:v>357886</c:v>
                </c:pt>
                <c:pt idx="43">
                  <c:v>371301</c:v>
                </c:pt>
                <c:pt idx="44">
                  <c:v>371313</c:v>
                </c:pt>
                <c:pt idx="45">
                  <c:v>295406</c:v>
                </c:pt>
                <c:pt idx="46">
                  <c:v>242736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D7-4544-9B52-FBC9CA155ADE}"/>
            </c:ext>
          </c:extLst>
        </c:ser>
        <c:ser>
          <c:idx val="3"/>
          <c:order val="2"/>
          <c:tx>
            <c:v>Super WM Meal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41"/>
              <c:layout>
                <c:manualLayout>
                  <c:x val="1.4671361502346342E-3"/>
                  <c:y val="3.0376670716889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4D-4074-9383-9B9C0EA94209}"/>
                </c:ext>
              </c:extLst>
            </c:dLbl>
            <c:dLbl>
              <c:idx val="46"/>
              <c:layout>
                <c:manualLayout>
                  <c:x val="0"/>
                  <c:y val="1.8240344546224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82-4C93-99CA-18F6340918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Products'!$A$30:$A$76</c:f>
              <c:strCache>
                <c:ptCount val="47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</c:strCache>
            </c:strRef>
          </c:cat>
          <c:val>
            <c:numRef>
              <c:f>'Hist &amp; Current WM Products'!$H$30:$H$76</c:f>
              <c:numCache>
                <c:formatCode>#,##0</c:formatCode>
                <c:ptCount val="47"/>
                <c:pt idx="0">
                  <c:v>131000</c:v>
                </c:pt>
                <c:pt idx="1">
                  <c:v>163000</c:v>
                </c:pt>
                <c:pt idx="2">
                  <c:v>211000</c:v>
                </c:pt>
                <c:pt idx="3">
                  <c:v>232000</c:v>
                </c:pt>
                <c:pt idx="4">
                  <c:v>249000</c:v>
                </c:pt>
                <c:pt idx="5">
                  <c:v>269000</c:v>
                </c:pt>
                <c:pt idx="6">
                  <c:v>306000</c:v>
                </c:pt>
                <c:pt idx="7">
                  <c:v>334000</c:v>
                </c:pt>
                <c:pt idx="8">
                  <c:v>295000</c:v>
                </c:pt>
                <c:pt idx="9">
                  <c:v>272000</c:v>
                </c:pt>
                <c:pt idx="10">
                  <c:v>293000</c:v>
                </c:pt>
                <c:pt idx="11">
                  <c:v>284000</c:v>
                </c:pt>
                <c:pt idx="12">
                  <c:v>334000</c:v>
                </c:pt>
                <c:pt idx="13">
                  <c:v>348000</c:v>
                </c:pt>
                <c:pt idx="14">
                  <c:v>385000</c:v>
                </c:pt>
                <c:pt idx="15">
                  <c:v>415000</c:v>
                </c:pt>
                <c:pt idx="16">
                  <c:v>447000</c:v>
                </c:pt>
                <c:pt idx="17">
                  <c:v>415000</c:v>
                </c:pt>
                <c:pt idx="18">
                  <c:v>448000</c:v>
                </c:pt>
                <c:pt idx="19">
                  <c:v>493000</c:v>
                </c:pt>
                <c:pt idx="20">
                  <c:v>508000</c:v>
                </c:pt>
                <c:pt idx="21">
                  <c:v>623000</c:v>
                </c:pt>
                <c:pt idx="41">
                  <c:v>2275099</c:v>
                </c:pt>
                <c:pt idx="42">
                  <c:v>2388000</c:v>
                </c:pt>
                <c:pt idx="43">
                  <c:v>2495637</c:v>
                </c:pt>
                <c:pt idx="44">
                  <c:v>2725436</c:v>
                </c:pt>
                <c:pt idx="45">
                  <c:v>2862883</c:v>
                </c:pt>
                <c:pt idx="46">
                  <c:v>2693285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D7-4544-9B52-FBC9CA155ADE}"/>
            </c:ext>
          </c:extLst>
        </c:ser>
        <c:ser>
          <c:idx val="5"/>
          <c:order val="3"/>
          <c:tx>
            <c:v>Unsifted WM Meal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46"/>
              <c:layout>
                <c:manualLayout>
                  <c:x val="0"/>
                  <c:y val="-1.4186934647063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82-4C93-99CA-18F6340918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Products'!$A$30:$A$76</c:f>
              <c:strCache>
                <c:ptCount val="47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</c:strCache>
            </c:strRef>
          </c:cat>
          <c:val>
            <c:numRef>
              <c:f>'Hist &amp; Current WM Products'!$I$30:$I$76</c:f>
              <c:numCache>
                <c:formatCode>#,##0</c:formatCode>
                <c:ptCount val="47"/>
                <c:pt idx="0">
                  <c:v>266000</c:v>
                </c:pt>
                <c:pt idx="1">
                  <c:v>278000</c:v>
                </c:pt>
                <c:pt idx="2">
                  <c:v>293000</c:v>
                </c:pt>
                <c:pt idx="3">
                  <c:v>280000</c:v>
                </c:pt>
                <c:pt idx="4">
                  <c:v>283000</c:v>
                </c:pt>
                <c:pt idx="5">
                  <c:v>276000</c:v>
                </c:pt>
                <c:pt idx="6">
                  <c:v>257000</c:v>
                </c:pt>
                <c:pt idx="7">
                  <c:v>246000</c:v>
                </c:pt>
                <c:pt idx="8">
                  <c:v>255000</c:v>
                </c:pt>
                <c:pt idx="9">
                  <c:v>207000</c:v>
                </c:pt>
                <c:pt idx="10">
                  <c:v>227000</c:v>
                </c:pt>
                <c:pt idx="11">
                  <c:v>219000</c:v>
                </c:pt>
                <c:pt idx="12">
                  <c:v>215000</c:v>
                </c:pt>
                <c:pt idx="13">
                  <c:v>193000</c:v>
                </c:pt>
                <c:pt idx="14">
                  <c:v>176000</c:v>
                </c:pt>
                <c:pt idx="15">
                  <c:v>178000</c:v>
                </c:pt>
                <c:pt idx="16">
                  <c:v>176000</c:v>
                </c:pt>
                <c:pt idx="17">
                  <c:v>200000</c:v>
                </c:pt>
                <c:pt idx="18">
                  <c:v>173000</c:v>
                </c:pt>
                <c:pt idx="19">
                  <c:v>112000</c:v>
                </c:pt>
                <c:pt idx="20">
                  <c:v>117000</c:v>
                </c:pt>
                <c:pt idx="21">
                  <c:v>77000</c:v>
                </c:pt>
                <c:pt idx="41">
                  <c:v>12290</c:v>
                </c:pt>
                <c:pt idx="42">
                  <c:v>10376</c:v>
                </c:pt>
                <c:pt idx="43">
                  <c:v>8568</c:v>
                </c:pt>
                <c:pt idx="44">
                  <c:v>12540</c:v>
                </c:pt>
                <c:pt idx="45">
                  <c:v>9987</c:v>
                </c:pt>
                <c:pt idx="46">
                  <c:v>6580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4D7-4544-9B52-FBC9CA155ADE}"/>
            </c:ext>
          </c:extLst>
        </c:ser>
        <c:ser>
          <c:idx val="7"/>
          <c:order val="4"/>
          <c:tx>
            <c:v>Total WM Meal</c:v>
          </c:tx>
          <c:spPr>
            <a:ln w="28575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0711923763916163E-2"/>
                  <c:y val="-7.0135478213293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F-45E8-8E43-35BF9518FC2C}"/>
                </c:ext>
              </c:extLst>
            </c:dLbl>
            <c:dLbl>
              <c:idx val="10"/>
              <c:layout>
                <c:manualLayout>
                  <c:x val="-4.377884552005621E-2"/>
                  <c:y val="-3.7473753280839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EF-45E8-8E43-35BF9518FC2C}"/>
                </c:ext>
              </c:extLst>
            </c:dLbl>
            <c:dLbl>
              <c:idx val="21"/>
              <c:layout>
                <c:manualLayout>
                  <c:x val="-3.556348631592008E-2"/>
                  <c:y val="-3.95833333333333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15-4B05-AE01-B3B9A2694DD0}"/>
                </c:ext>
              </c:extLst>
            </c:dLbl>
            <c:dLbl>
              <c:idx val="25"/>
              <c:layout>
                <c:manualLayout>
                  <c:x val="-1.3682677590111963E-2"/>
                  <c:y val="2.7065338612631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EF-45E8-8E43-35BF9518FC2C}"/>
                </c:ext>
              </c:extLst>
            </c:dLbl>
            <c:dLbl>
              <c:idx val="33"/>
              <c:layout>
                <c:manualLayout>
                  <c:x val="-6.8413387950560069E-3"/>
                  <c:y val="-2.29014403645345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EF-45E8-8E43-35BF9518FC2C}"/>
                </c:ext>
              </c:extLst>
            </c:dLbl>
            <c:dLbl>
              <c:idx val="41"/>
              <c:layout>
                <c:manualLayout>
                  <c:x val="-8.0558025323151428E-2"/>
                  <c:y val="-3.1377899943865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9-4EAA-AB5D-D3825813ACD3}"/>
                </c:ext>
              </c:extLst>
            </c:dLbl>
            <c:dLbl>
              <c:idx val="46"/>
              <c:layout>
                <c:manualLayout>
                  <c:x val="0"/>
                  <c:y val="8.1068197983221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82-4C93-99CA-18F6340918A8}"/>
                </c:ext>
              </c:extLst>
            </c:dLbl>
            <c:dLbl>
              <c:idx val="47"/>
              <c:layout>
                <c:manualLayout>
                  <c:x val="-3.2838426216268833E-2"/>
                  <c:y val="3.7475084232874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EF-45E8-8E43-35BF9518FC2C}"/>
                </c:ext>
              </c:extLst>
            </c:dLbl>
            <c:dLbl>
              <c:idx val="68"/>
              <c:layout>
                <c:manualLayout>
                  <c:x val="-3.5574961734291338E-2"/>
                  <c:y val="-8.327796496194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FEF-45E8-8E43-35BF9518FC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00FF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'Hist &amp; Current WM Products'!$A$30:$A$76</c:f>
              <c:strCache>
                <c:ptCount val="47"/>
                <c:pt idx="0">
                  <c:v>1975/76</c:v>
                </c:pt>
                <c:pt idx="1">
                  <c:v>1976/77</c:v>
                </c:pt>
                <c:pt idx="2">
                  <c:v>1977/78</c:v>
                </c:pt>
                <c:pt idx="3">
                  <c:v>1978/79</c:v>
                </c:pt>
                <c:pt idx="4">
                  <c:v>1979/80</c:v>
                </c:pt>
                <c:pt idx="5">
                  <c:v>1980/81</c:v>
                </c:pt>
                <c:pt idx="6">
                  <c:v>1981/82</c:v>
                </c:pt>
                <c:pt idx="7">
                  <c:v>1982/83</c:v>
                </c:pt>
                <c:pt idx="8">
                  <c:v>1983/84</c:v>
                </c:pt>
                <c:pt idx="9">
                  <c:v>1984/85</c:v>
                </c:pt>
                <c:pt idx="10">
                  <c:v>1985/86</c:v>
                </c:pt>
                <c:pt idx="11">
                  <c:v>1986/87</c:v>
                </c:pt>
                <c:pt idx="12">
                  <c:v>1987/88</c:v>
                </c:pt>
                <c:pt idx="13">
                  <c:v>1988/89</c:v>
                </c:pt>
                <c:pt idx="14">
                  <c:v>1989/90</c:v>
                </c:pt>
                <c:pt idx="15">
                  <c:v>1990/91</c:v>
                </c:pt>
                <c:pt idx="16">
                  <c:v>1991/92</c:v>
                </c:pt>
                <c:pt idx="17">
                  <c:v>1992/93</c:v>
                </c:pt>
                <c:pt idx="18">
                  <c:v>1993/94</c:v>
                </c:pt>
                <c:pt idx="19">
                  <c:v>1994/95</c:v>
                </c:pt>
                <c:pt idx="20">
                  <c:v>1995/96</c:v>
                </c:pt>
                <c:pt idx="21">
                  <c:v>1996/97</c:v>
                </c:pt>
                <c:pt idx="22">
                  <c:v>1997/98</c:v>
                </c:pt>
                <c:pt idx="23">
                  <c:v>1998/99</c:v>
                </c:pt>
                <c:pt idx="24">
                  <c:v>1999/00</c:v>
                </c:pt>
                <c:pt idx="25">
                  <c:v>2000/01</c:v>
                </c:pt>
                <c:pt idx="26">
                  <c:v>2001/02</c:v>
                </c:pt>
                <c:pt idx="27">
                  <c:v>2002/03</c:v>
                </c:pt>
                <c:pt idx="28">
                  <c:v>2003/04</c:v>
                </c:pt>
                <c:pt idx="29">
                  <c:v>2004/05</c:v>
                </c:pt>
                <c:pt idx="30">
                  <c:v>2005/06</c:v>
                </c:pt>
                <c:pt idx="31">
                  <c:v>2006/07</c:v>
                </c:pt>
                <c:pt idx="32">
                  <c:v>2007/08</c:v>
                </c:pt>
                <c:pt idx="33">
                  <c:v>2008/09</c:v>
                </c:pt>
                <c:pt idx="34">
                  <c:v>2009/10</c:v>
                </c:pt>
                <c:pt idx="35">
                  <c:v>2010/11</c:v>
                </c:pt>
                <c:pt idx="36">
                  <c:v>2011/12</c:v>
                </c:pt>
                <c:pt idx="37">
                  <c:v>2012/13</c:v>
                </c:pt>
                <c:pt idx="38">
                  <c:v>2013/14</c:v>
                </c:pt>
                <c:pt idx="39">
                  <c:v>2014/15</c:v>
                </c:pt>
                <c:pt idx="40">
                  <c:v>2015/16</c:v>
                </c:pt>
                <c:pt idx="41">
                  <c:v>2016/17</c:v>
                </c:pt>
                <c:pt idx="42">
                  <c:v>2017/18</c:v>
                </c:pt>
                <c:pt idx="43">
                  <c:v>2018/19</c:v>
                </c:pt>
                <c:pt idx="44">
                  <c:v>2019/20</c:v>
                </c:pt>
                <c:pt idx="45">
                  <c:v>2020/21</c:v>
                </c:pt>
                <c:pt idx="46">
                  <c:v>2021/22</c:v>
                </c:pt>
              </c:strCache>
            </c:strRef>
          </c:cat>
          <c:val>
            <c:numRef>
              <c:f>'Hist &amp; Current WM Products'!$K$30:$K$76</c:f>
              <c:numCache>
                <c:formatCode>#,##0</c:formatCode>
                <c:ptCount val="47"/>
                <c:pt idx="0">
                  <c:v>2125000</c:v>
                </c:pt>
                <c:pt idx="1">
                  <c:v>2268000</c:v>
                </c:pt>
                <c:pt idx="2">
                  <c:v>2253000</c:v>
                </c:pt>
                <c:pt idx="3">
                  <c:v>2160000</c:v>
                </c:pt>
                <c:pt idx="4">
                  <c:v>2270000</c:v>
                </c:pt>
                <c:pt idx="5">
                  <c:v>2152000</c:v>
                </c:pt>
                <c:pt idx="6">
                  <c:v>2161000</c:v>
                </c:pt>
                <c:pt idx="7">
                  <c:v>2294000</c:v>
                </c:pt>
                <c:pt idx="8">
                  <c:v>2275000</c:v>
                </c:pt>
                <c:pt idx="9">
                  <c:v>2086000</c:v>
                </c:pt>
                <c:pt idx="10">
                  <c:v>2181000</c:v>
                </c:pt>
                <c:pt idx="11">
                  <c:v>2058000</c:v>
                </c:pt>
                <c:pt idx="12">
                  <c:v>2099000</c:v>
                </c:pt>
                <c:pt idx="13">
                  <c:v>1987000</c:v>
                </c:pt>
                <c:pt idx="14">
                  <c:v>2002000</c:v>
                </c:pt>
                <c:pt idx="15">
                  <c:v>2053000</c:v>
                </c:pt>
                <c:pt idx="16">
                  <c:v>2109000</c:v>
                </c:pt>
                <c:pt idx="17">
                  <c:v>2183000</c:v>
                </c:pt>
                <c:pt idx="18">
                  <c:v>2223000</c:v>
                </c:pt>
                <c:pt idx="19">
                  <c:v>2153000</c:v>
                </c:pt>
                <c:pt idx="20">
                  <c:v>2128000</c:v>
                </c:pt>
                <c:pt idx="21">
                  <c:v>2149000</c:v>
                </c:pt>
                <c:pt idx="41">
                  <c:v>2807213</c:v>
                </c:pt>
                <c:pt idx="42">
                  <c:v>2869565</c:v>
                </c:pt>
                <c:pt idx="43">
                  <c:v>2903945</c:v>
                </c:pt>
                <c:pt idx="44">
                  <c:v>3131389</c:v>
                </c:pt>
                <c:pt idx="45">
                  <c:v>3190157</c:v>
                </c:pt>
                <c:pt idx="46">
                  <c:v>2964912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4D7-4544-9B52-FBC9CA155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02752"/>
        <c:axId val="83808640"/>
      </c:lineChart>
      <c:catAx>
        <c:axId val="83802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 Narrow" panose="020B0606020202030204" pitchFamily="34" charset="0"/>
              </a:defRPr>
            </a:pPr>
            <a:endParaRPr lang="en-US"/>
          </a:p>
        </c:txPr>
        <c:crossAx val="83808640"/>
        <c:crosses val="autoZero"/>
        <c:auto val="1"/>
        <c:lblAlgn val="ctr"/>
        <c:lblOffset val="100"/>
        <c:noMultiLvlLbl val="0"/>
      </c:catAx>
      <c:valAx>
        <c:axId val="83808640"/>
        <c:scaling>
          <c:orientation val="minMax"/>
          <c:max val="3500000"/>
          <c:min val="0"/>
        </c:scaling>
        <c:delete val="0"/>
        <c:axPos val="l"/>
        <c:majorGridlines/>
        <c:min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 Narrow" panose="020B0606020202030204" pitchFamily="34" charset="0"/>
              </a:defRPr>
            </a:pPr>
            <a:endParaRPr lang="en-US"/>
          </a:p>
        </c:txPr>
        <c:crossAx val="83802752"/>
        <c:crosses val="autoZero"/>
        <c:crossBetween val="between"/>
      </c:valAx>
    </c:plotArea>
    <c:legend>
      <c:legendPos val="r"/>
      <c:legendEntry>
        <c:idx val="4"/>
        <c:txPr>
          <a:bodyPr/>
          <a:lstStyle/>
          <a:p>
            <a:pPr>
              <a:defRPr sz="1400">
                <a:solidFill>
                  <a:srgbClr val="0000FF"/>
                </a:solidFill>
                <a:latin typeface="Arial Narrow" panose="020B060602020203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7.3132723103255595E-2"/>
          <c:y val="6.4579888451443565E-2"/>
          <c:w val="0.86121160985196876"/>
          <c:h val="4.7204724409448819E-2"/>
        </c:manualLayout>
      </c:layout>
      <c:overlay val="0"/>
      <c:spPr>
        <a:noFill/>
      </c:spPr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Narrow" panose="020B0606020202030204" pitchFamily="34" charset="0"/>
              </a:defRPr>
            </a:pPr>
            <a:r>
              <a:rPr lang="en-US">
                <a:latin typeface="Arial Narrow" panose="020B0606020202030204" pitchFamily="34" charset="0"/>
              </a:rPr>
              <a:t>Maize products historic information</a:t>
            </a:r>
          </a:p>
        </c:rich>
      </c:tx>
      <c:layout>
        <c:manualLayout>
          <c:xMode val="edge"/>
          <c:yMode val="edge"/>
          <c:x val="0.32478822385480621"/>
          <c:y val="4.16666666666666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79158935395946E-2"/>
          <c:y val="0.10224491469816271"/>
          <c:w val="0.90043636220355994"/>
          <c:h val="0.79957463910761151"/>
        </c:manualLayout>
      </c:layout>
      <c:lineChart>
        <c:grouping val="standard"/>
        <c:varyColors val="0"/>
        <c:ser>
          <c:idx val="3"/>
          <c:order val="0"/>
          <c:tx>
            <c:v>WM Rice</c:v>
          </c:tx>
          <c:spPr>
            <a:ln>
              <a:solidFill>
                <a:srgbClr val="D96709"/>
              </a:solidFill>
            </a:ln>
          </c:spPr>
          <c:marker>
            <c:symbol val="none"/>
          </c:marker>
          <c:cat>
            <c:strRef>
              <c:f>'Hist &amp; Current WM Products'!$A$4:$A$76</c:f>
              <c:strCache>
                <c:ptCount val="73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</c:strCache>
            </c:strRef>
          </c:cat>
          <c:val>
            <c:numRef>
              <c:f>'Hist &amp; Current WM Products'!$B$4:$B$76</c:f>
              <c:numCache>
                <c:formatCode>#,##0</c:formatCode>
                <c:ptCount val="73"/>
                <c:pt idx="0">
                  <c:v>49713.683199999999</c:v>
                </c:pt>
                <c:pt idx="1">
                  <c:v>65226.529600000002</c:v>
                </c:pt>
                <c:pt idx="2">
                  <c:v>59964.862399999998</c:v>
                </c:pt>
                <c:pt idx="3">
                  <c:v>57696.902399999999</c:v>
                </c:pt>
                <c:pt idx="4">
                  <c:v>57696.902399999999</c:v>
                </c:pt>
                <c:pt idx="5">
                  <c:v>56699</c:v>
                </c:pt>
                <c:pt idx="6">
                  <c:v>59601.988799999999</c:v>
                </c:pt>
                <c:pt idx="7">
                  <c:v>59148.396799999995</c:v>
                </c:pt>
                <c:pt idx="8">
                  <c:v>54975.350399999996</c:v>
                </c:pt>
                <c:pt idx="9">
                  <c:v>53977.447999999997</c:v>
                </c:pt>
                <c:pt idx="10">
                  <c:v>49350.809600000001</c:v>
                </c:pt>
                <c:pt idx="11">
                  <c:v>44724.171200000004</c:v>
                </c:pt>
                <c:pt idx="12">
                  <c:v>46175.6656</c:v>
                </c:pt>
                <c:pt idx="13">
                  <c:v>46901.412799999998</c:v>
                </c:pt>
                <c:pt idx="14">
                  <c:v>46175.6656</c:v>
                </c:pt>
                <c:pt idx="15">
                  <c:v>45903.510399999999</c:v>
                </c:pt>
                <c:pt idx="16">
                  <c:v>39825.3776</c:v>
                </c:pt>
                <c:pt idx="17">
                  <c:v>36000</c:v>
                </c:pt>
                <c:pt idx="18">
                  <c:v>38000</c:v>
                </c:pt>
                <c:pt idx="19">
                  <c:v>39000</c:v>
                </c:pt>
                <c:pt idx="20">
                  <c:v>38000</c:v>
                </c:pt>
                <c:pt idx="21">
                  <c:v>36000</c:v>
                </c:pt>
                <c:pt idx="22">
                  <c:v>36000</c:v>
                </c:pt>
                <c:pt idx="23">
                  <c:v>39000</c:v>
                </c:pt>
                <c:pt idx="24">
                  <c:v>42000</c:v>
                </c:pt>
                <c:pt idx="25">
                  <c:v>48000</c:v>
                </c:pt>
                <c:pt idx="26">
                  <c:v>49000</c:v>
                </c:pt>
                <c:pt idx="27">
                  <c:v>50000</c:v>
                </c:pt>
                <c:pt idx="28">
                  <c:v>56000</c:v>
                </c:pt>
                <c:pt idx="29">
                  <c:v>55000</c:v>
                </c:pt>
                <c:pt idx="30">
                  <c:v>53000</c:v>
                </c:pt>
                <c:pt idx="31">
                  <c:v>50000</c:v>
                </c:pt>
                <c:pt idx="32">
                  <c:v>50000</c:v>
                </c:pt>
                <c:pt idx="33">
                  <c:v>49000</c:v>
                </c:pt>
                <c:pt idx="34">
                  <c:v>43000</c:v>
                </c:pt>
                <c:pt idx="35">
                  <c:v>36000</c:v>
                </c:pt>
                <c:pt idx="36">
                  <c:v>37000</c:v>
                </c:pt>
                <c:pt idx="37">
                  <c:v>31000</c:v>
                </c:pt>
                <c:pt idx="38">
                  <c:v>27000</c:v>
                </c:pt>
                <c:pt idx="39">
                  <c:v>22000</c:v>
                </c:pt>
                <c:pt idx="40">
                  <c:v>21000</c:v>
                </c:pt>
                <c:pt idx="41">
                  <c:v>22000</c:v>
                </c:pt>
                <c:pt idx="42">
                  <c:v>20000</c:v>
                </c:pt>
                <c:pt idx="43">
                  <c:v>22000</c:v>
                </c:pt>
                <c:pt idx="44">
                  <c:v>24000</c:v>
                </c:pt>
                <c:pt idx="45">
                  <c:v>29000</c:v>
                </c:pt>
                <c:pt idx="46">
                  <c:v>20000</c:v>
                </c:pt>
                <c:pt idx="47">
                  <c:v>20000</c:v>
                </c:pt>
                <c:pt idx="67">
                  <c:v>8894</c:v>
                </c:pt>
                <c:pt idx="68">
                  <c:v>8727</c:v>
                </c:pt>
                <c:pt idx="69">
                  <c:v>8228</c:v>
                </c:pt>
                <c:pt idx="70">
                  <c:v>8476</c:v>
                </c:pt>
                <c:pt idx="71">
                  <c:v>7264</c:v>
                </c:pt>
                <c:pt idx="72">
                  <c:v>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76-4C00-8DA4-FE681900F116}"/>
            </c:ext>
          </c:extLst>
        </c:ser>
        <c:ser>
          <c:idx val="5"/>
          <c:order val="1"/>
          <c:tx>
            <c:v>WM Grits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'Hist &amp; Current WM Products'!$A$4:$A$76</c:f>
              <c:strCache>
                <c:ptCount val="73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</c:strCache>
            </c:strRef>
          </c:cat>
          <c:val>
            <c:numRef>
              <c:f>'Hist &amp; Current WM Products'!$C$4:$C$76</c:f>
              <c:numCache>
                <c:formatCode>#,##0</c:formatCode>
                <c:ptCount val="73"/>
                <c:pt idx="0">
                  <c:v>8346.0928000000004</c:v>
                </c:pt>
                <c:pt idx="1">
                  <c:v>10069.742400000001</c:v>
                </c:pt>
                <c:pt idx="2">
                  <c:v>5987.4144000000006</c:v>
                </c:pt>
                <c:pt idx="3">
                  <c:v>6894.5984000000008</c:v>
                </c:pt>
                <c:pt idx="4">
                  <c:v>6894.5984000000008</c:v>
                </c:pt>
                <c:pt idx="5">
                  <c:v>18052.961600000002</c:v>
                </c:pt>
                <c:pt idx="6">
                  <c:v>21046.668799999999</c:v>
                </c:pt>
                <c:pt idx="7">
                  <c:v>24584.686399999999</c:v>
                </c:pt>
                <c:pt idx="8">
                  <c:v>26308.335999999999</c:v>
                </c:pt>
                <c:pt idx="9">
                  <c:v>31479.284800000001</c:v>
                </c:pt>
                <c:pt idx="10">
                  <c:v>22316.7264</c:v>
                </c:pt>
                <c:pt idx="11">
                  <c:v>21409.542399999998</c:v>
                </c:pt>
                <c:pt idx="12">
                  <c:v>25582.588800000001</c:v>
                </c:pt>
                <c:pt idx="13">
                  <c:v>38192.446400000001</c:v>
                </c:pt>
                <c:pt idx="14">
                  <c:v>49985.838400000001</c:v>
                </c:pt>
                <c:pt idx="15">
                  <c:v>53070.264000000003</c:v>
                </c:pt>
                <c:pt idx="16">
                  <c:v>57878.339200000002</c:v>
                </c:pt>
                <c:pt idx="17">
                  <c:v>63000</c:v>
                </c:pt>
                <c:pt idx="18">
                  <c:v>77000</c:v>
                </c:pt>
                <c:pt idx="19">
                  <c:v>82000</c:v>
                </c:pt>
                <c:pt idx="20">
                  <c:v>85000</c:v>
                </c:pt>
                <c:pt idx="21">
                  <c:v>83000</c:v>
                </c:pt>
                <c:pt idx="22">
                  <c:v>89000</c:v>
                </c:pt>
                <c:pt idx="23">
                  <c:v>102000</c:v>
                </c:pt>
                <c:pt idx="24">
                  <c:v>104000</c:v>
                </c:pt>
                <c:pt idx="25">
                  <c:v>111000</c:v>
                </c:pt>
                <c:pt idx="26">
                  <c:v>111000</c:v>
                </c:pt>
                <c:pt idx="27">
                  <c:v>117000</c:v>
                </c:pt>
                <c:pt idx="28">
                  <c:v>136000</c:v>
                </c:pt>
                <c:pt idx="29">
                  <c:v>146000</c:v>
                </c:pt>
                <c:pt idx="30">
                  <c:v>161000</c:v>
                </c:pt>
                <c:pt idx="31">
                  <c:v>159000</c:v>
                </c:pt>
                <c:pt idx="32">
                  <c:v>154000</c:v>
                </c:pt>
                <c:pt idx="33">
                  <c:v>148000</c:v>
                </c:pt>
                <c:pt idx="34">
                  <c:v>146000</c:v>
                </c:pt>
                <c:pt idx="35">
                  <c:v>144000</c:v>
                </c:pt>
                <c:pt idx="36">
                  <c:v>130000</c:v>
                </c:pt>
                <c:pt idx="37">
                  <c:v>134000</c:v>
                </c:pt>
                <c:pt idx="38">
                  <c:v>125000</c:v>
                </c:pt>
                <c:pt idx="39">
                  <c:v>143000</c:v>
                </c:pt>
                <c:pt idx="40">
                  <c:v>155000</c:v>
                </c:pt>
                <c:pt idx="41">
                  <c:v>164000</c:v>
                </c:pt>
                <c:pt idx="42">
                  <c:v>184000</c:v>
                </c:pt>
                <c:pt idx="43">
                  <c:v>185000</c:v>
                </c:pt>
                <c:pt idx="44">
                  <c:v>176000</c:v>
                </c:pt>
                <c:pt idx="45">
                  <c:v>141000</c:v>
                </c:pt>
                <c:pt idx="46">
                  <c:v>141000</c:v>
                </c:pt>
                <c:pt idx="47">
                  <c:v>101000</c:v>
                </c:pt>
                <c:pt idx="67">
                  <c:v>47392</c:v>
                </c:pt>
                <c:pt idx="68">
                  <c:v>60423</c:v>
                </c:pt>
                <c:pt idx="69">
                  <c:v>62964</c:v>
                </c:pt>
                <c:pt idx="70">
                  <c:v>68251</c:v>
                </c:pt>
                <c:pt idx="71">
                  <c:v>69446</c:v>
                </c:pt>
                <c:pt idx="72">
                  <c:v>78688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76-4C00-8DA4-FE681900F116}"/>
            </c:ext>
          </c:extLst>
        </c:ser>
        <c:ser>
          <c:idx val="7"/>
          <c:order val="2"/>
          <c:tx>
            <c:v>WM Samp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'Hist &amp; Current WM Products'!$A$4:$A$76</c:f>
              <c:strCache>
                <c:ptCount val="73"/>
                <c:pt idx="0">
                  <c:v>1949/50</c:v>
                </c:pt>
                <c:pt idx="1">
                  <c:v>1950/51</c:v>
                </c:pt>
                <c:pt idx="2">
                  <c:v>1951/52</c:v>
                </c:pt>
                <c:pt idx="3">
                  <c:v>1952/53</c:v>
                </c:pt>
                <c:pt idx="4">
                  <c:v>1953/54</c:v>
                </c:pt>
                <c:pt idx="5">
                  <c:v>1954/55</c:v>
                </c:pt>
                <c:pt idx="6">
                  <c:v>1955/56</c:v>
                </c:pt>
                <c:pt idx="7">
                  <c:v>1956/57</c:v>
                </c:pt>
                <c:pt idx="8">
                  <c:v>1957/58</c:v>
                </c:pt>
                <c:pt idx="9">
                  <c:v>1958/59</c:v>
                </c:pt>
                <c:pt idx="10">
                  <c:v>1959/60</c:v>
                </c:pt>
                <c:pt idx="11">
                  <c:v>1960/61</c:v>
                </c:pt>
                <c:pt idx="12">
                  <c:v>1961/62</c:v>
                </c:pt>
                <c:pt idx="13">
                  <c:v>1962/63</c:v>
                </c:pt>
                <c:pt idx="14">
                  <c:v>1963/64</c:v>
                </c:pt>
                <c:pt idx="15">
                  <c:v>1964/65</c:v>
                </c:pt>
                <c:pt idx="16">
                  <c:v>1965/66</c:v>
                </c:pt>
                <c:pt idx="17">
                  <c:v>1966/67</c:v>
                </c:pt>
                <c:pt idx="18">
                  <c:v>1967/68</c:v>
                </c:pt>
                <c:pt idx="19">
                  <c:v>1968/69</c:v>
                </c:pt>
                <c:pt idx="20">
                  <c:v>1969/70</c:v>
                </c:pt>
                <c:pt idx="21">
                  <c:v>1970/71</c:v>
                </c:pt>
                <c:pt idx="22">
                  <c:v>1971/72</c:v>
                </c:pt>
                <c:pt idx="23">
                  <c:v>1972/73</c:v>
                </c:pt>
                <c:pt idx="24">
                  <c:v>1973/74</c:v>
                </c:pt>
                <c:pt idx="25">
                  <c:v>1974/75</c:v>
                </c:pt>
                <c:pt idx="26">
                  <c:v>1975/76</c:v>
                </c:pt>
                <c:pt idx="27">
                  <c:v>1976/77</c:v>
                </c:pt>
                <c:pt idx="28">
                  <c:v>1977/78</c:v>
                </c:pt>
                <c:pt idx="29">
                  <c:v>1978/79</c:v>
                </c:pt>
                <c:pt idx="30">
                  <c:v>1979/80</c:v>
                </c:pt>
                <c:pt idx="31">
                  <c:v>1980/81</c:v>
                </c:pt>
                <c:pt idx="32">
                  <c:v>1981/82</c:v>
                </c:pt>
                <c:pt idx="33">
                  <c:v>1982/83</c:v>
                </c:pt>
                <c:pt idx="34">
                  <c:v>1983/84</c:v>
                </c:pt>
                <c:pt idx="35">
                  <c:v>1984/85</c:v>
                </c:pt>
                <c:pt idx="36">
                  <c:v>1985/86</c:v>
                </c:pt>
                <c:pt idx="37">
                  <c:v>1986/87</c:v>
                </c:pt>
                <c:pt idx="38">
                  <c:v>1987/88</c:v>
                </c:pt>
                <c:pt idx="39">
                  <c:v>1988/89</c:v>
                </c:pt>
                <c:pt idx="40">
                  <c:v>1989/90</c:v>
                </c:pt>
                <c:pt idx="41">
                  <c:v>1990/91</c:v>
                </c:pt>
                <c:pt idx="42">
                  <c:v>1991/92</c:v>
                </c:pt>
                <c:pt idx="43">
                  <c:v>1992/93</c:v>
                </c:pt>
                <c:pt idx="44">
                  <c:v>1993/94</c:v>
                </c:pt>
                <c:pt idx="45">
                  <c:v>1994/95</c:v>
                </c:pt>
                <c:pt idx="46">
                  <c:v>1995/96</c:v>
                </c:pt>
                <c:pt idx="47">
                  <c:v>1996/97</c:v>
                </c:pt>
                <c:pt idx="48">
                  <c:v>1997/98</c:v>
                </c:pt>
                <c:pt idx="49">
                  <c:v>1998/99</c:v>
                </c:pt>
                <c:pt idx="50">
                  <c:v>1999/00</c:v>
                </c:pt>
                <c:pt idx="51">
                  <c:v>2000/01</c:v>
                </c:pt>
                <c:pt idx="52">
                  <c:v>2001/02</c:v>
                </c:pt>
                <c:pt idx="53">
                  <c:v>2002/03</c:v>
                </c:pt>
                <c:pt idx="54">
                  <c:v>2003/04</c:v>
                </c:pt>
                <c:pt idx="55">
                  <c:v>2004/05</c:v>
                </c:pt>
                <c:pt idx="56">
                  <c:v>2005/06</c:v>
                </c:pt>
                <c:pt idx="57">
                  <c:v>2006/07</c:v>
                </c:pt>
                <c:pt idx="58">
                  <c:v>2007/08</c:v>
                </c:pt>
                <c:pt idx="59">
                  <c:v>2008/09</c:v>
                </c:pt>
                <c:pt idx="60">
                  <c:v>2009/10</c:v>
                </c:pt>
                <c:pt idx="61">
                  <c:v>2010/11</c:v>
                </c:pt>
                <c:pt idx="62">
                  <c:v>2011/12</c:v>
                </c:pt>
                <c:pt idx="63">
                  <c:v>2012/13</c:v>
                </c:pt>
                <c:pt idx="64">
                  <c:v>2013/14</c:v>
                </c:pt>
                <c:pt idx="65">
                  <c:v>2014/15</c:v>
                </c:pt>
                <c:pt idx="66">
                  <c:v>2015/16</c:v>
                </c:pt>
                <c:pt idx="67">
                  <c:v>2016/17</c:v>
                </c:pt>
                <c:pt idx="68">
                  <c:v>2017/18</c:v>
                </c:pt>
                <c:pt idx="69">
                  <c:v>2018/19</c:v>
                </c:pt>
                <c:pt idx="70">
                  <c:v>2019/20</c:v>
                </c:pt>
                <c:pt idx="71">
                  <c:v>2020/21</c:v>
                </c:pt>
                <c:pt idx="72">
                  <c:v>2021/22</c:v>
                </c:pt>
              </c:strCache>
            </c:strRef>
          </c:cat>
          <c:val>
            <c:numRef>
              <c:f>'Hist &amp; Current WM Products'!$D$4:$D$76</c:f>
              <c:numCache>
                <c:formatCode>#,##0</c:formatCode>
                <c:ptCount val="73"/>
                <c:pt idx="0">
                  <c:v>43272.676799999994</c:v>
                </c:pt>
                <c:pt idx="1">
                  <c:v>46538.539200000007</c:v>
                </c:pt>
                <c:pt idx="2">
                  <c:v>47990.033600000002</c:v>
                </c:pt>
                <c:pt idx="3">
                  <c:v>56880.436799999996</c:v>
                </c:pt>
                <c:pt idx="4">
                  <c:v>56880.436799999996</c:v>
                </c:pt>
                <c:pt idx="5">
                  <c:v>55973.252799999995</c:v>
                </c:pt>
                <c:pt idx="6">
                  <c:v>60781.328000000001</c:v>
                </c:pt>
                <c:pt idx="7">
                  <c:v>59964.862399999998</c:v>
                </c:pt>
                <c:pt idx="8">
                  <c:v>64591.500799999994</c:v>
                </c:pt>
                <c:pt idx="9">
                  <c:v>69671.731200000009</c:v>
                </c:pt>
                <c:pt idx="10">
                  <c:v>68310.955199999997</c:v>
                </c:pt>
                <c:pt idx="11">
                  <c:v>72937.593599999993</c:v>
                </c:pt>
                <c:pt idx="12">
                  <c:v>76657.047999999995</c:v>
                </c:pt>
                <c:pt idx="13">
                  <c:v>83460.928</c:v>
                </c:pt>
                <c:pt idx="14">
                  <c:v>90899.83679999999</c:v>
                </c:pt>
                <c:pt idx="15">
                  <c:v>100788.14240000001</c:v>
                </c:pt>
                <c:pt idx="16">
                  <c:v>108680.64320000001</c:v>
                </c:pt>
                <c:pt idx="17">
                  <c:v>106000</c:v>
                </c:pt>
                <c:pt idx="18">
                  <c:v>111000</c:v>
                </c:pt>
                <c:pt idx="19">
                  <c:v>128000</c:v>
                </c:pt>
                <c:pt idx="20">
                  <c:v>130000</c:v>
                </c:pt>
                <c:pt idx="21">
                  <c:v>128000</c:v>
                </c:pt>
                <c:pt idx="22">
                  <c:v>119000</c:v>
                </c:pt>
                <c:pt idx="23">
                  <c:v>139000</c:v>
                </c:pt>
                <c:pt idx="24">
                  <c:v>153000</c:v>
                </c:pt>
                <c:pt idx="25">
                  <c:v>159000</c:v>
                </c:pt>
                <c:pt idx="26">
                  <c:v>160000</c:v>
                </c:pt>
                <c:pt idx="27">
                  <c:v>162000</c:v>
                </c:pt>
                <c:pt idx="28">
                  <c:v>171000</c:v>
                </c:pt>
                <c:pt idx="29">
                  <c:v>172000</c:v>
                </c:pt>
                <c:pt idx="30">
                  <c:v>168000</c:v>
                </c:pt>
                <c:pt idx="31">
                  <c:v>174000</c:v>
                </c:pt>
                <c:pt idx="32">
                  <c:v>160000</c:v>
                </c:pt>
                <c:pt idx="33">
                  <c:v>165000</c:v>
                </c:pt>
                <c:pt idx="34">
                  <c:v>165000</c:v>
                </c:pt>
                <c:pt idx="35">
                  <c:v>152000</c:v>
                </c:pt>
                <c:pt idx="36">
                  <c:v>151000</c:v>
                </c:pt>
                <c:pt idx="37">
                  <c:v>122000</c:v>
                </c:pt>
                <c:pt idx="38">
                  <c:v>128000</c:v>
                </c:pt>
                <c:pt idx="39">
                  <c:v>117000</c:v>
                </c:pt>
                <c:pt idx="40">
                  <c:v>116000</c:v>
                </c:pt>
                <c:pt idx="41">
                  <c:v>120000</c:v>
                </c:pt>
                <c:pt idx="42">
                  <c:v>122000</c:v>
                </c:pt>
                <c:pt idx="43">
                  <c:v>128000</c:v>
                </c:pt>
                <c:pt idx="44">
                  <c:v>127000</c:v>
                </c:pt>
                <c:pt idx="45">
                  <c:v>105000</c:v>
                </c:pt>
                <c:pt idx="46">
                  <c:v>115000</c:v>
                </c:pt>
                <c:pt idx="47">
                  <c:v>105000</c:v>
                </c:pt>
                <c:pt idx="67">
                  <c:v>107965</c:v>
                </c:pt>
                <c:pt idx="68">
                  <c:v>112676</c:v>
                </c:pt>
                <c:pt idx="69">
                  <c:v>118545</c:v>
                </c:pt>
                <c:pt idx="70">
                  <c:v>117573</c:v>
                </c:pt>
                <c:pt idx="71">
                  <c:v>110572</c:v>
                </c:pt>
                <c:pt idx="72">
                  <c:v>107682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276-4C00-8DA4-FE681900F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92416"/>
        <c:axId val="84093952"/>
      </c:lineChart>
      <c:catAx>
        <c:axId val="8409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50">
                <a:latin typeface="Arial Narrow" panose="020B0606020202030204" pitchFamily="34" charset="0"/>
              </a:defRPr>
            </a:pPr>
            <a:endParaRPr lang="en-US"/>
          </a:p>
        </c:txPr>
        <c:crossAx val="84093952"/>
        <c:crosses val="autoZero"/>
        <c:auto val="1"/>
        <c:lblAlgn val="ctr"/>
        <c:lblOffset val="100"/>
        <c:noMultiLvlLbl val="0"/>
      </c:catAx>
      <c:valAx>
        <c:axId val="8409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 Narrow" panose="020B0606020202030204" pitchFamily="34" charset="0"/>
              </a:defRPr>
            </a:pPr>
            <a:endParaRPr lang="en-US"/>
          </a:p>
        </c:txPr>
        <c:crossAx val="8409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68491052692118"/>
          <c:y val="4.8673228346456703E-2"/>
          <c:w val="0.62145156752905073"/>
          <c:h val="5.8851541994750643E-2"/>
        </c:manualLayout>
      </c:layout>
      <c:overlay val="0"/>
      <c:txPr>
        <a:bodyPr/>
        <a:lstStyle/>
        <a:p>
          <a:pPr>
            <a:defRPr sz="1400">
              <a:latin typeface="Arial Narrow" panose="020B0606020202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0BF8B-DEBC-4EC9-AA72-BFA33A3BCB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712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0.4964</cdr:x>
      <cdr:y>0.88365</cdr:y>
    </cdr:from>
    <cdr:to>
      <cdr:x>0.88204</cdr:x>
      <cdr:y>0.89956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4F02B7A-8DB1-4F6C-847D-0009D995578B}"/>
            </a:ext>
          </a:extLst>
        </cdr:cNvPr>
        <cdr:cNvCxnSpPr/>
      </cdr:nvCxnSpPr>
      <cdr:spPr>
        <a:xfrm xmlns:a="http://schemas.openxmlformats.org/drawingml/2006/main">
          <a:off x="4298783" y="5537267"/>
          <a:ext cx="3339606" cy="99698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6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0.49632</cdr:x>
      <cdr:y>0.39976</cdr:y>
    </cdr:from>
    <cdr:to>
      <cdr:x>0.87236</cdr:x>
      <cdr:y>0.75636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82DD53D5-6029-4B2A-B01E-D73FF1C4ECE9}"/>
            </a:ext>
          </a:extLst>
        </cdr:cNvPr>
        <cdr:cNvCxnSpPr/>
      </cdr:nvCxnSpPr>
      <cdr:spPr>
        <a:xfrm xmlns:a="http://schemas.openxmlformats.org/drawingml/2006/main" flipV="1">
          <a:off x="4296305" y="2506980"/>
          <a:ext cx="3255115" cy="223635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0.49632</cdr:x>
      <cdr:y>0.79943</cdr:y>
    </cdr:from>
    <cdr:to>
      <cdr:x>0.87229</cdr:x>
      <cdr:y>0.89355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1517E877-CFA2-437F-9CE4-063B1953E7FC}"/>
            </a:ext>
          </a:extLst>
        </cdr:cNvPr>
        <cdr:cNvCxnSpPr/>
      </cdr:nvCxnSpPr>
      <cdr:spPr>
        <a:xfrm xmlns:a="http://schemas.openxmlformats.org/drawingml/2006/main">
          <a:off x="4298093" y="5009479"/>
          <a:ext cx="3255865" cy="58978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D87B7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0.49631</cdr:x>
      <cdr:y>0.6837</cdr:y>
    </cdr:from>
    <cdr:to>
      <cdr:x>0.87516</cdr:x>
      <cdr:y>0.80692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DAB32EED-8A2F-4E38-B1FB-9DE7B46B7585}"/>
            </a:ext>
          </a:extLst>
        </cdr:cNvPr>
        <cdr:cNvCxnSpPr/>
      </cdr:nvCxnSpPr>
      <cdr:spPr>
        <a:xfrm xmlns:a="http://schemas.openxmlformats.org/drawingml/2006/main">
          <a:off x="4298007" y="4284264"/>
          <a:ext cx="3280806" cy="77213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3">
              <a:lumMod val="75000"/>
            </a:schemeClr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0.49808</cdr:x>
      <cdr:y>0.28068</cdr:y>
    </cdr:from>
    <cdr:to>
      <cdr:x>0.86972</cdr:x>
      <cdr:y>0.42039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BBDF60AE-6997-48CE-8293-72E80C5132AD}"/>
            </a:ext>
          </a:extLst>
        </cdr:cNvPr>
        <cdr:cNvCxnSpPr/>
      </cdr:nvCxnSpPr>
      <cdr:spPr>
        <a:xfrm xmlns:a="http://schemas.openxmlformats.org/drawingml/2006/main" flipV="1">
          <a:off x="4311540" y="1760220"/>
          <a:ext cx="3217020" cy="876155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0">
          <a:schemeClr val="accent4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0.00803</cdr:x>
      <cdr:y>0.07337</cdr:y>
    </cdr:from>
    <cdr:to>
      <cdr:x>0.05888</cdr:x>
      <cdr:y>0.1087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74543" y="447261"/>
          <a:ext cx="472109" cy="2153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050" b="1">
              <a:latin typeface="Arial Narrow" panose="020B0606020202030204" pitchFamily="34" charset="0"/>
            </a:rPr>
            <a:t>Ton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0.65252</cdr:x>
      <cdr:y>0.50343</cdr:y>
    </cdr:from>
    <cdr:to>
      <cdr:x>0.89763</cdr:x>
      <cdr:y>0.71221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EA43930-E10C-4F03-8C85-FB768D74E6D9}"/>
            </a:ext>
          </a:extLst>
        </cdr:cNvPr>
        <cdr:cNvCxnSpPr/>
      </cdr:nvCxnSpPr>
      <cdr:spPr>
        <a:xfrm xmlns:a="http://schemas.openxmlformats.org/drawingml/2006/main">
          <a:off x="5643456" y="3150414"/>
          <a:ext cx="2119883" cy="130653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0.65454</cdr:x>
      <cdr:y>0.47128</cdr:y>
    </cdr:from>
    <cdr:to>
      <cdr:x>0.89983</cdr:x>
      <cdr:y>0.48562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EAB24921-6291-422B-9387-8249643E1C5C}"/>
            </a:ext>
          </a:extLst>
        </cdr:cNvPr>
        <cdr:cNvCxnSpPr/>
      </cdr:nvCxnSpPr>
      <cdr:spPr>
        <a:xfrm xmlns:a="http://schemas.openxmlformats.org/drawingml/2006/main" flipV="1">
          <a:off x="5660949" y="2949222"/>
          <a:ext cx="2121440" cy="89739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0000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0.65715</cdr:x>
      <cdr:y>0.82257</cdr:y>
    </cdr:from>
    <cdr:to>
      <cdr:x>0.89999</cdr:x>
      <cdr:y>0.86376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FB1E6228-B5E3-4B93-A251-93AEC99F5D36}"/>
            </a:ext>
          </a:extLst>
        </cdr:cNvPr>
        <cdr:cNvCxnSpPr/>
      </cdr:nvCxnSpPr>
      <cdr:spPr>
        <a:xfrm xmlns:a="http://schemas.openxmlformats.org/drawingml/2006/main">
          <a:off x="5683534" y="5147568"/>
          <a:ext cx="2100250" cy="257764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D96709"/>
          </a:solidFill>
          <a:prstDash val="sysDot"/>
        </a:ln>
      </cdr:spPr>
      <cdr:style>
        <a:lnRef xmlns:a="http://schemas.openxmlformats.org/drawingml/2006/main" idx="1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800467</xdr:colOff>
      <xdr:row>0</xdr:row>
      <xdr:rowOff>366051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D3AD9-752F-431C-88E4-39B7E532E4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016" t="9414" r="15208" b="35151"/>
        <a:stretch/>
      </xdr:blipFill>
      <xdr:spPr>
        <a:xfrm>
          <a:off x="0" y="0"/>
          <a:ext cx="800467" cy="366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Z99"/>
  <sheetViews>
    <sheetView showGridLines="0" tabSelected="1" zoomScale="85" zoomScaleNormal="85" workbookViewId="0">
      <pane xSplit="1" ySplit="3" topLeftCell="B71" activePane="bottomRight" state="frozen"/>
      <selection pane="topRight" activeCell="B1" sqref="B1"/>
      <selection pane="bottomLeft" activeCell="A4" sqref="A4"/>
      <selection pane="bottomRight" activeCell="Z2" sqref="Z2"/>
    </sheetView>
  </sheetViews>
  <sheetFormatPr defaultColWidth="9.109375" defaultRowHeight="14.4" x14ac:dyDescent="0.3"/>
  <cols>
    <col min="1" max="1" width="13.6640625" style="134" customWidth="1"/>
    <col min="2" max="4" width="9.77734375" style="137" customWidth="1"/>
    <col min="5" max="5" width="12.6640625" style="137" customWidth="1"/>
    <col min="6" max="10" width="9.77734375" style="137" customWidth="1"/>
    <col min="11" max="13" width="12.6640625" style="137" customWidth="1"/>
    <col min="14" max="14" width="17.109375" style="137" customWidth="1"/>
    <col min="15" max="15" width="2.77734375" style="137" customWidth="1"/>
    <col min="16" max="16" width="10.5546875" style="134" hidden="1" customWidth="1"/>
    <col min="17" max="17" width="4.44140625" style="134" hidden="1" customWidth="1"/>
    <col min="18" max="18" width="9.109375" style="134" hidden="1" customWidth="1"/>
    <col min="19" max="19" width="14" style="137" hidden="1" customWidth="1"/>
    <col min="20" max="20" width="10.88671875" style="134" customWidth="1"/>
    <col min="21" max="21" width="17.33203125" style="134" customWidth="1"/>
    <col min="22" max="22" width="9.77734375" style="138" customWidth="1"/>
    <col min="23" max="23" width="16.88671875" style="139" bestFit="1" customWidth="1"/>
    <col min="24" max="24" width="10" style="134" customWidth="1"/>
    <col min="25" max="25" width="2.77734375" style="134" customWidth="1"/>
    <col min="26" max="26" width="10.21875" style="138" customWidth="1"/>
    <col min="27" max="16384" width="9.109375" style="134"/>
  </cols>
  <sheetData>
    <row r="1" spans="1:26" ht="30.6" customHeight="1" thickBot="1" x14ac:dyDescent="0.35">
      <c r="B1" s="136" t="s">
        <v>91</v>
      </c>
      <c r="D1" s="136"/>
      <c r="E1" s="136"/>
      <c r="F1" s="136"/>
      <c r="G1" s="135"/>
      <c r="H1" s="135"/>
      <c r="I1" s="135"/>
      <c r="J1" s="135"/>
      <c r="K1" s="135"/>
      <c r="L1" s="135"/>
      <c r="M1" s="135"/>
      <c r="N1" s="135"/>
      <c r="Z1" s="140"/>
    </row>
    <row r="2" spans="1:26" s="151" customFormat="1" ht="92.25" customHeight="1" thickBot="1" x14ac:dyDescent="0.35">
      <c r="A2" s="141" t="s">
        <v>14</v>
      </c>
      <c r="B2" s="142" t="s">
        <v>6</v>
      </c>
      <c r="C2" s="142" t="s">
        <v>7</v>
      </c>
      <c r="D2" s="143" t="s">
        <v>8</v>
      </c>
      <c r="E2" s="144" t="s">
        <v>90</v>
      </c>
      <c r="F2" s="145" t="s">
        <v>9</v>
      </c>
      <c r="G2" s="142" t="s">
        <v>10</v>
      </c>
      <c r="H2" s="145" t="s">
        <v>11</v>
      </c>
      <c r="I2" s="142" t="s">
        <v>12</v>
      </c>
      <c r="J2" s="143" t="s">
        <v>156</v>
      </c>
      <c r="K2" s="144" t="s">
        <v>89</v>
      </c>
      <c r="L2" s="146" t="s">
        <v>151</v>
      </c>
      <c r="M2" s="147" t="s">
        <v>152</v>
      </c>
      <c r="N2" s="148" t="s">
        <v>132</v>
      </c>
      <c r="O2" s="149"/>
      <c r="P2" s="150" t="s">
        <v>116</v>
      </c>
      <c r="S2" s="152" t="s">
        <v>125</v>
      </c>
      <c r="T2" s="153" t="s">
        <v>126</v>
      </c>
      <c r="U2" s="154" t="s">
        <v>124</v>
      </c>
      <c r="V2" s="155" t="s">
        <v>127</v>
      </c>
      <c r="W2" s="142" t="s">
        <v>133</v>
      </c>
      <c r="X2" s="156" t="s">
        <v>134</v>
      </c>
      <c r="Z2" s="157" t="s">
        <v>140</v>
      </c>
    </row>
    <row r="3" spans="1:26" ht="16.2" thickBot="1" x14ac:dyDescent="0.35">
      <c r="A3" s="280" t="s">
        <v>77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2"/>
      <c r="O3" s="158"/>
      <c r="P3" s="159"/>
      <c r="T3" s="160"/>
      <c r="U3" s="161" t="s">
        <v>128</v>
      </c>
      <c r="V3" s="162" t="s">
        <v>129</v>
      </c>
      <c r="W3" s="163" t="s">
        <v>128</v>
      </c>
      <c r="X3" s="164" t="s">
        <v>129</v>
      </c>
      <c r="Z3" s="164" t="s">
        <v>129</v>
      </c>
    </row>
    <row r="4" spans="1:26" x14ac:dyDescent="0.3">
      <c r="A4" s="165" t="s">
        <v>0</v>
      </c>
      <c r="B4" s="166">
        <v>49713.683199999999</v>
      </c>
      <c r="C4" s="166">
        <v>8346.0928000000004</v>
      </c>
      <c r="D4" s="167">
        <v>43272.676799999994</v>
      </c>
      <c r="E4" s="168">
        <f>SUM(B4:D4)</f>
        <v>101332.4528</v>
      </c>
      <c r="F4" s="169"/>
      <c r="G4" s="170"/>
      <c r="H4" s="169"/>
      <c r="I4" s="170"/>
      <c r="J4" s="171"/>
      <c r="K4" s="168">
        <v>1184237.9935999999</v>
      </c>
      <c r="L4" s="171"/>
      <c r="M4" s="172">
        <f t="shared" ref="M4:M51" si="0">SUM(E4+K4)</f>
        <v>1285570.4464</v>
      </c>
      <c r="N4" s="173">
        <v>1647400</v>
      </c>
      <c r="P4" s="174">
        <f>N4-M4</f>
        <v>361829.55359999998</v>
      </c>
      <c r="Q4" s="175"/>
      <c r="R4" s="171"/>
      <c r="S4" s="175">
        <v>2533628.16</v>
      </c>
      <c r="T4" s="176">
        <v>12458000</v>
      </c>
      <c r="U4" s="166">
        <f t="shared" ref="U4:U42" si="1">N4*1000</f>
        <v>1647400000</v>
      </c>
      <c r="V4" s="177">
        <f>U4/T4</f>
        <v>132.2363140150907</v>
      </c>
      <c r="W4" s="166">
        <f>U4-(U4*0.3)</f>
        <v>1153180000</v>
      </c>
      <c r="X4" s="178">
        <f>W4/T4</f>
        <v>92.565419810563498</v>
      </c>
      <c r="Z4" s="179">
        <v>56.62225076256221</v>
      </c>
    </row>
    <row r="5" spans="1:26" x14ac:dyDescent="0.3">
      <c r="A5" s="180" t="s">
        <v>1</v>
      </c>
      <c r="B5" s="181">
        <v>65226.529600000002</v>
      </c>
      <c r="C5" s="181">
        <v>10069.742400000001</v>
      </c>
      <c r="D5" s="182">
        <v>46538.539200000007</v>
      </c>
      <c r="E5" s="183">
        <f t="shared" ref="E5:E51" si="2">SUM(B5:D5)</f>
        <v>121834.8112</v>
      </c>
      <c r="F5" s="184"/>
      <c r="G5" s="185"/>
      <c r="H5" s="184"/>
      <c r="I5" s="185"/>
      <c r="J5" s="186"/>
      <c r="K5" s="183">
        <v>1166003.5952000001</v>
      </c>
      <c r="L5" s="186"/>
      <c r="M5" s="187">
        <f t="shared" si="0"/>
        <v>1287838.4064000002</v>
      </c>
      <c r="N5" s="188">
        <v>1658300</v>
      </c>
      <c r="P5" s="188">
        <f>N5-M5</f>
        <v>370461.59359999979</v>
      </c>
      <c r="Q5" s="189"/>
      <c r="R5" s="186"/>
      <c r="S5" s="189">
        <v>2541430.08</v>
      </c>
      <c r="T5" s="190">
        <v>12716000</v>
      </c>
      <c r="U5" s="181">
        <f t="shared" si="1"/>
        <v>1658300000</v>
      </c>
      <c r="V5" s="191">
        <f>U5/T5</f>
        <v>130.41050644856873</v>
      </c>
      <c r="W5" s="181">
        <f t="shared" ref="W5:W68" si="3">U5-(U5*0.3)</f>
        <v>1160810000</v>
      </c>
      <c r="X5" s="192">
        <f t="shared" ref="X5:X68" si="4">W5/T5</f>
        <v>91.28735451399811</v>
      </c>
      <c r="Z5" s="193">
        <v>61.725385341302299</v>
      </c>
    </row>
    <row r="6" spans="1:26" x14ac:dyDescent="0.3">
      <c r="A6" s="180" t="s">
        <v>2</v>
      </c>
      <c r="B6" s="181">
        <v>59964.862399999998</v>
      </c>
      <c r="C6" s="181">
        <v>5987.4144000000006</v>
      </c>
      <c r="D6" s="182">
        <v>47990.033600000002</v>
      </c>
      <c r="E6" s="183">
        <f t="shared" si="2"/>
        <v>113942.31039999999</v>
      </c>
      <c r="F6" s="184"/>
      <c r="G6" s="185"/>
      <c r="H6" s="184"/>
      <c r="I6" s="185"/>
      <c r="J6" s="186"/>
      <c r="K6" s="183">
        <v>1125089.5967999999</v>
      </c>
      <c r="L6" s="186"/>
      <c r="M6" s="187">
        <f t="shared" si="0"/>
        <v>1239031.9072</v>
      </c>
      <c r="N6" s="188">
        <v>1743600</v>
      </c>
      <c r="P6" s="188">
        <f>N6-M6</f>
        <v>504568.09279999998</v>
      </c>
      <c r="Q6" s="189"/>
      <c r="R6" s="186"/>
      <c r="S6" s="189">
        <v>2765236.32</v>
      </c>
      <c r="T6" s="190">
        <v>13040000</v>
      </c>
      <c r="U6" s="181">
        <f t="shared" si="1"/>
        <v>1743600000</v>
      </c>
      <c r="V6" s="191">
        <f t="shared" ref="V6:V67" si="5">U6/T6</f>
        <v>133.71165644171779</v>
      </c>
      <c r="W6" s="181">
        <f t="shared" si="3"/>
        <v>1220520000</v>
      </c>
      <c r="X6" s="192">
        <f t="shared" si="4"/>
        <v>93.598159509202461</v>
      </c>
      <c r="Z6" s="193">
        <v>61.95552147239264</v>
      </c>
    </row>
    <row r="7" spans="1:26" x14ac:dyDescent="0.3">
      <c r="A7" s="180" t="s">
        <v>3</v>
      </c>
      <c r="B7" s="181">
        <v>57696.902399999999</v>
      </c>
      <c r="C7" s="181">
        <v>6894.5984000000008</v>
      </c>
      <c r="D7" s="182">
        <v>56880.436799999996</v>
      </c>
      <c r="E7" s="183">
        <f t="shared" si="2"/>
        <v>121471.9376</v>
      </c>
      <c r="F7" s="184"/>
      <c r="G7" s="185"/>
      <c r="H7" s="184"/>
      <c r="I7" s="185"/>
      <c r="J7" s="186"/>
      <c r="K7" s="183">
        <v>987016.19200000004</v>
      </c>
      <c r="L7" s="186"/>
      <c r="M7" s="187">
        <f t="shared" si="0"/>
        <v>1108488.1296000001</v>
      </c>
      <c r="N7" s="188">
        <v>1635700</v>
      </c>
      <c r="P7" s="188">
        <f t="shared" ref="P7:P51" si="6">N7-M7</f>
        <v>527211.8703999999</v>
      </c>
      <c r="Q7" s="189"/>
      <c r="R7" s="186"/>
      <c r="S7" s="189">
        <v>2592959.04</v>
      </c>
      <c r="T7" s="190">
        <v>13376000</v>
      </c>
      <c r="U7" s="181">
        <f t="shared" si="1"/>
        <v>1635700000</v>
      </c>
      <c r="V7" s="191">
        <f t="shared" si="5"/>
        <v>122.28618421052632</v>
      </c>
      <c r="W7" s="181">
        <f t="shared" si="3"/>
        <v>1144990000</v>
      </c>
      <c r="X7" s="192">
        <f t="shared" si="4"/>
        <v>85.600328947368425</v>
      </c>
      <c r="Z7" s="193">
        <v>61.872009569377994</v>
      </c>
    </row>
    <row r="8" spans="1:26" x14ac:dyDescent="0.3">
      <c r="A8" s="180" t="s">
        <v>4</v>
      </c>
      <c r="B8" s="181">
        <v>57696.902399999999</v>
      </c>
      <c r="C8" s="181">
        <v>6894.5984000000008</v>
      </c>
      <c r="D8" s="182">
        <v>56880.436799999996</v>
      </c>
      <c r="E8" s="183">
        <f t="shared" si="2"/>
        <v>121471.9376</v>
      </c>
      <c r="F8" s="184"/>
      <c r="G8" s="185"/>
      <c r="H8" s="184"/>
      <c r="I8" s="185"/>
      <c r="J8" s="186"/>
      <c r="K8" s="183">
        <v>987016.19200000004</v>
      </c>
      <c r="L8" s="186"/>
      <c r="M8" s="187">
        <f t="shared" si="0"/>
        <v>1108488.1296000001</v>
      </c>
      <c r="N8" s="188">
        <v>1602100</v>
      </c>
      <c r="P8" s="188">
        <f t="shared" si="6"/>
        <v>493611.8703999999</v>
      </c>
      <c r="Q8" s="189"/>
      <c r="R8" s="186"/>
      <c r="S8" s="189">
        <v>2473843.6800000002</v>
      </c>
      <c r="T8" s="190">
        <v>13717000</v>
      </c>
      <c r="U8" s="181">
        <f t="shared" si="1"/>
        <v>1602100000</v>
      </c>
      <c r="V8" s="191">
        <f t="shared" si="5"/>
        <v>116.7966756579427</v>
      </c>
      <c r="W8" s="181">
        <f t="shared" si="3"/>
        <v>1121470000</v>
      </c>
      <c r="X8" s="192">
        <f t="shared" si="4"/>
        <v>81.757672960559887</v>
      </c>
      <c r="Z8" s="193">
        <v>58.321790478967706</v>
      </c>
    </row>
    <row r="9" spans="1:26" x14ac:dyDescent="0.3">
      <c r="A9" s="180" t="s">
        <v>15</v>
      </c>
      <c r="B9" s="181">
        <v>56699</v>
      </c>
      <c r="C9" s="181">
        <v>18052.961600000002</v>
      </c>
      <c r="D9" s="182">
        <v>55973.252799999995</v>
      </c>
      <c r="E9" s="183">
        <f t="shared" si="2"/>
        <v>130725.2144</v>
      </c>
      <c r="F9" s="184"/>
      <c r="G9" s="185"/>
      <c r="H9" s="184"/>
      <c r="I9" s="185"/>
      <c r="J9" s="186"/>
      <c r="K9" s="183">
        <v>1187685.2927999999</v>
      </c>
      <c r="L9" s="186"/>
      <c r="M9" s="187">
        <f t="shared" si="0"/>
        <v>1318410.5071999999</v>
      </c>
      <c r="N9" s="188">
        <v>1809800</v>
      </c>
      <c r="P9" s="188">
        <f t="shared" si="6"/>
        <v>491389.49280000012</v>
      </c>
      <c r="Q9" s="189"/>
      <c r="R9" s="186"/>
      <c r="S9" s="189">
        <v>2747364.48</v>
      </c>
      <c r="T9" s="190">
        <v>14067000</v>
      </c>
      <c r="U9" s="181">
        <f t="shared" si="1"/>
        <v>1809800000</v>
      </c>
      <c r="V9" s="191">
        <f t="shared" si="5"/>
        <v>128.65571905879008</v>
      </c>
      <c r="W9" s="181">
        <f t="shared" si="3"/>
        <v>1266860000</v>
      </c>
      <c r="X9" s="192">
        <f t="shared" si="4"/>
        <v>90.059003341153058</v>
      </c>
      <c r="Z9" s="193">
        <v>59.50095969289827</v>
      </c>
    </row>
    <row r="10" spans="1:26" x14ac:dyDescent="0.3">
      <c r="A10" s="180" t="s">
        <v>16</v>
      </c>
      <c r="B10" s="181">
        <v>59601.988799999999</v>
      </c>
      <c r="C10" s="181">
        <v>21046.668799999999</v>
      </c>
      <c r="D10" s="182">
        <v>60781.328000000001</v>
      </c>
      <c r="E10" s="183">
        <f t="shared" si="2"/>
        <v>141429.98560000001</v>
      </c>
      <c r="F10" s="184"/>
      <c r="G10" s="185"/>
      <c r="H10" s="184"/>
      <c r="I10" s="185"/>
      <c r="J10" s="186"/>
      <c r="K10" s="183">
        <v>1279855.1872</v>
      </c>
      <c r="L10" s="186"/>
      <c r="M10" s="187">
        <f t="shared" si="0"/>
        <v>1421285.1728000001</v>
      </c>
      <c r="N10" s="188">
        <v>1846100</v>
      </c>
      <c r="P10" s="188">
        <f t="shared" si="6"/>
        <v>424814.82719999994</v>
      </c>
      <c r="Q10" s="189"/>
      <c r="R10" s="186"/>
      <c r="S10" s="189">
        <v>2838447.36</v>
      </c>
      <c r="T10" s="190">
        <v>14421000</v>
      </c>
      <c r="U10" s="181">
        <f t="shared" si="1"/>
        <v>1846100000</v>
      </c>
      <c r="V10" s="191">
        <f t="shared" si="5"/>
        <v>128.01470078357951</v>
      </c>
      <c r="W10" s="181">
        <f t="shared" si="3"/>
        <v>1292270000</v>
      </c>
      <c r="X10" s="192">
        <f t="shared" si="4"/>
        <v>89.610290548505645</v>
      </c>
      <c r="Z10" s="193">
        <v>61.493655086332431</v>
      </c>
    </row>
    <row r="11" spans="1:26" x14ac:dyDescent="0.3">
      <c r="A11" s="180" t="s">
        <v>17</v>
      </c>
      <c r="B11" s="181">
        <v>59148.396799999995</v>
      </c>
      <c r="C11" s="181">
        <v>24584.686399999999</v>
      </c>
      <c r="D11" s="182">
        <v>59964.862399999998</v>
      </c>
      <c r="E11" s="183">
        <f t="shared" si="2"/>
        <v>143697.94559999998</v>
      </c>
      <c r="F11" s="184"/>
      <c r="G11" s="185"/>
      <c r="H11" s="184"/>
      <c r="I11" s="185"/>
      <c r="J11" s="186"/>
      <c r="K11" s="183">
        <v>1316596.1392000001</v>
      </c>
      <c r="L11" s="186"/>
      <c r="M11" s="187">
        <f t="shared" si="0"/>
        <v>1460294.0848000001</v>
      </c>
      <c r="N11" s="188">
        <v>1808000</v>
      </c>
      <c r="P11" s="188">
        <f t="shared" si="6"/>
        <v>347705.91519999993</v>
      </c>
      <c r="Q11" s="189"/>
      <c r="R11" s="186"/>
      <c r="S11" s="189">
        <v>2796534.72</v>
      </c>
      <c r="T11" s="190">
        <v>14786000</v>
      </c>
      <c r="U11" s="181">
        <f t="shared" si="1"/>
        <v>1808000000</v>
      </c>
      <c r="V11" s="191">
        <f t="shared" si="5"/>
        <v>122.27783038008927</v>
      </c>
      <c r="W11" s="181">
        <f t="shared" si="3"/>
        <v>1265600000</v>
      </c>
      <c r="X11" s="192">
        <f t="shared" si="4"/>
        <v>85.594481266062488</v>
      </c>
      <c r="Z11" s="193">
        <v>58.670363857703229</v>
      </c>
    </row>
    <row r="12" spans="1:26" x14ac:dyDescent="0.3">
      <c r="A12" s="180" t="s">
        <v>18</v>
      </c>
      <c r="B12" s="181">
        <v>54975.350399999996</v>
      </c>
      <c r="C12" s="181">
        <v>26308.335999999999</v>
      </c>
      <c r="D12" s="182">
        <v>64591.500799999994</v>
      </c>
      <c r="E12" s="183">
        <f t="shared" si="2"/>
        <v>145875.18719999999</v>
      </c>
      <c r="F12" s="184"/>
      <c r="G12" s="185"/>
      <c r="H12" s="184"/>
      <c r="I12" s="185"/>
      <c r="J12" s="186"/>
      <c r="K12" s="183">
        <v>1276317.1695999999</v>
      </c>
      <c r="L12" s="186"/>
      <c r="M12" s="187">
        <f t="shared" si="0"/>
        <v>1422192.3568</v>
      </c>
      <c r="N12" s="188">
        <v>2021200</v>
      </c>
      <c r="P12" s="188">
        <f t="shared" si="6"/>
        <v>599007.64320000005</v>
      </c>
      <c r="Q12" s="189"/>
      <c r="R12" s="186"/>
      <c r="S12" s="189">
        <v>2938511.52</v>
      </c>
      <c r="T12" s="190">
        <v>15160000</v>
      </c>
      <c r="U12" s="181">
        <f t="shared" si="1"/>
        <v>2021200000</v>
      </c>
      <c r="V12" s="191">
        <f t="shared" si="5"/>
        <v>133.32453825857519</v>
      </c>
      <c r="W12" s="181">
        <f t="shared" si="3"/>
        <v>1414840000</v>
      </c>
      <c r="X12" s="192">
        <f t="shared" si="4"/>
        <v>93.327176781002635</v>
      </c>
      <c r="Z12" s="193">
        <v>59.670184696569919</v>
      </c>
    </row>
    <row r="13" spans="1:26" x14ac:dyDescent="0.3">
      <c r="A13" s="180" t="s">
        <v>19</v>
      </c>
      <c r="B13" s="181">
        <v>53977.447999999997</v>
      </c>
      <c r="C13" s="181">
        <v>31479.284800000001</v>
      </c>
      <c r="D13" s="182">
        <v>69671.731200000009</v>
      </c>
      <c r="E13" s="183">
        <f t="shared" si="2"/>
        <v>155128.46400000001</v>
      </c>
      <c r="F13" s="184"/>
      <c r="G13" s="185"/>
      <c r="H13" s="184"/>
      <c r="I13" s="185"/>
      <c r="J13" s="186"/>
      <c r="K13" s="183">
        <v>1430175.5759999999</v>
      </c>
      <c r="L13" s="186"/>
      <c r="M13" s="187">
        <f t="shared" si="0"/>
        <v>1585304.0399999998</v>
      </c>
      <c r="N13" s="188">
        <v>2051100</v>
      </c>
      <c r="P13" s="188">
        <f t="shared" si="6"/>
        <v>465795.9600000002</v>
      </c>
      <c r="Q13" s="189"/>
      <c r="R13" s="186"/>
      <c r="S13" s="189">
        <v>3118590.72</v>
      </c>
      <c r="T13" s="190">
        <v>15546000</v>
      </c>
      <c r="U13" s="181">
        <f t="shared" si="1"/>
        <v>2051100000</v>
      </c>
      <c r="V13" s="191">
        <f t="shared" si="5"/>
        <v>131.93747587803938</v>
      </c>
      <c r="W13" s="181">
        <f t="shared" si="3"/>
        <v>1435770000</v>
      </c>
      <c r="X13" s="192">
        <f t="shared" si="4"/>
        <v>92.356233114627557</v>
      </c>
      <c r="Z13" s="193">
        <v>59.867490029589604</v>
      </c>
    </row>
    <row r="14" spans="1:26" x14ac:dyDescent="0.3">
      <c r="A14" s="180" t="s">
        <v>20</v>
      </c>
      <c r="B14" s="181">
        <v>49350.809600000001</v>
      </c>
      <c r="C14" s="181">
        <v>22316.7264</v>
      </c>
      <c r="D14" s="182">
        <v>68310.955199999997</v>
      </c>
      <c r="E14" s="183">
        <f t="shared" si="2"/>
        <v>139978.49119999999</v>
      </c>
      <c r="F14" s="184"/>
      <c r="G14" s="185"/>
      <c r="H14" s="184"/>
      <c r="I14" s="185"/>
      <c r="J14" s="186"/>
      <c r="K14" s="183">
        <v>1443148.3072000002</v>
      </c>
      <c r="L14" s="186"/>
      <c r="M14" s="187">
        <f t="shared" si="0"/>
        <v>1583126.7984000002</v>
      </c>
      <c r="N14" s="188">
        <v>2014000</v>
      </c>
      <c r="P14" s="188">
        <f t="shared" si="6"/>
        <v>430873.2015999998</v>
      </c>
      <c r="Q14" s="189"/>
      <c r="R14" s="186"/>
      <c r="S14" s="189">
        <v>3094277.76</v>
      </c>
      <c r="T14" s="190">
        <v>15938000</v>
      </c>
      <c r="U14" s="181">
        <f t="shared" si="1"/>
        <v>2014000000</v>
      </c>
      <c r="V14" s="191">
        <f t="shared" si="5"/>
        <v>126.3646630693939</v>
      </c>
      <c r="W14" s="181">
        <f t="shared" si="3"/>
        <v>1409800000</v>
      </c>
      <c r="X14" s="192">
        <f t="shared" si="4"/>
        <v>88.455264148575736</v>
      </c>
      <c r="Z14" s="193">
        <v>57.058602083071904</v>
      </c>
    </row>
    <row r="15" spans="1:26" x14ac:dyDescent="0.3">
      <c r="A15" s="180" t="s">
        <v>21</v>
      </c>
      <c r="B15" s="181">
        <v>44724.171200000004</v>
      </c>
      <c r="C15" s="181">
        <v>21409.542399999998</v>
      </c>
      <c r="D15" s="182">
        <v>72937.593599999993</v>
      </c>
      <c r="E15" s="183">
        <f t="shared" si="2"/>
        <v>139071.30719999998</v>
      </c>
      <c r="F15" s="194">
        <v>386460.38400000002</v>
      </c>
      <c r="G15" s="181">
        <v>382196.61920000002</v>
      </c>
      <c r="H15" s="194"/>
      <c r="I15" s="181">
        <v>371764.00319999998</v>
      </c>
      <c r="J15" s="182">
        <v>121834.8112</v>
      </c>
      <c r="K15" s="183">
        <f>SUM(F15:J15)</f>
        <v>1262255.8176000002</v>
      </c>
      <c r="L15" s="195"/>
      <c r="M15" s="187">
        <f t="shared" si="0"/>
        <v>1401327.1248000001</v>
      </c>
      <c r="N15" s="188">
        <v>2054800</v>
      </c>
      <c r="P15" s="188">
        <f t="shared" si="6"/>
        <v>653472.87519999989</v>
      </c>
      <c r="Q15" s="189"/>
      <c r="R15" s="186"/>
      <c r="S15" s="189">
        <v>3285243.36</v>
      </c>
      <c r="T15" s="190">
        <v>16297000</v>
      </c>
      <c r="U15" s="181">
        <f t="shared" si="1"/>
        <v>2054800000</v>
      </c>
      <c r="V15" s="191">
        <f t="shared" si="5"/>
        <v>126.08455543965147</v>
      </c>
      <c r="W15" s="181">
        <f t="shared" si="3"/>
        <v>1438360000</v>
      </c>
      <c r="X15" s="192">
        <f t="shared" si="4"/>
        <v>88.259188807756033</v>
      </c>
      <c r="Z15" s="193">
        <v>55.427379272258698</v>
      </c>
    </row>
    <row r="16" spans="1:26" x14ac:dyDescent="0.3">
      <c r="A16" s="180" t="s">
        <v>22</v>
      </c>
      <c r="B16" s="181">
        <v>46175.6656</v>
      </c>
      <c r="C16" s="181">
        <v>25582.588800000001</v>
      </c>
      <c r="D16" s="182">
        <v>76657.047999999995</v>
      </c>
      <c r="E16" s="183">
        <f t="shared" si="2"/>
        <v>148415.30239999999</v>
      </c>
      <c r="F16" s="194">
        <v>363780.78399999999</v>
      </c>
      <c r="G16" s="181">
        <v>379021.47519999999</v>
      </c>
      <c r="H16" s="194"/>
      <c r="I16" s="181">
        <v>349900.8688</v>
      </c>
      <c r="J16" s="182">
        <v>113670.15520000001</v>
      </c>
      <c r="K16" s="183">
        <f t="shared" ref="K16:K51" si="7">SUM(F16:J16)</f>
        <v>1206373.2831999999</v>
      </c>
      <c r="L16" s="195"/>
      <c r="M16" s="187">
        <f t="shared" si="0"/>
        <v>1354788.5855999999</v>
      </c>
      <c r="N16" s="188">
        <v>2017600</v>
      </c>
      <c r="P16" s="188">
        <f t="shared" si="6"/>
        <v>662811.41440000013</v>
      </c>
      <c r="Q16" s="189"/>
      <c r="R16" s="186"/>
      <c r="S16" s="189">
        <v>3199600</v>
      </c>
      <c r="T16" s="190">
        <v>16664000</v>
      </c>
      <c r="U16" s="181">
        <f t="shared" si="1"/>
        <v>2017600000</v>
      </c>
      <c r="V16" s="191">
        <f t="shared" si="5"/>
        <v>121.07537205952953</v>
      </c>
      <c r="W16" s="181">
        <f t="shared" si="3"/>
        <v>1412320000</v>
      </c>
      <c r="X16" s="192">
        <f t="shared" si="4"/>
        <v>84.752760441670674</v>
      </c>
      <c r="Z16" s="193">
        <v>55.106817090734516</v>
      </c>
    </row>
    <row r="17" spans="1:26" x14ac:dyDescent="0.3">
      <c r="A17" s="180" t="s">
        <v>23</v>
      </c>
      <c r="B17" s="181">
        <v>46901.412799999998</v>
      </c>
      <c r="C17" s="181">
        <v>38192.446400000001</v>
      </c>
      <c r="D17" s="182">
        <v>83460.928</v>
      </c>
      <c r="E17" s="183">
        <f t="shared" si="2"/>
        <v>168554.78720000002</v>
      </c>
      <c r="F17" s="194">
        <v>421024.0944</v>
      </c>
      <c r="G17" s="181">
        <v>450870.44799999997</v>
      </c>
      <c r="H17" s="194"/>
      <c r="I17" s="181">
        <v>338107.4768</v>
      </c>
      <c r="J17" s="182">
        <v>98610.900800000003</v>
      </c>
      <c r="K17" s="183">
        <f t="shared" si="7"/>
        <v>1308612.92</v>
      </c>
      <c r="L17" s="195"/>
      <c r="M17" s="187">
        <f t="shared" si="0"/>
        <v>1477167.7072000001</v>
      </c>
      <c r="N17" s="188">
        <v>2192700</v>
      </c>
      <c r="P17" s="188">
        <f t="shared" si="6"/>
        <v>715532.29279999994</v>
      </c>
      <c r="Q17" s="189"/>
      <c r="R17" s="186"/>
      <c r="S17" s="189">
        <v>3452700</v>
      </c>
      <c r="T17" s="190">
        <v>17057000</v>
      </c>
      <c r="U17" s="181">
        <f t="shared" si="1"/>
        <v>2192700000</v>
      </c>
      <c r="V17" s="191">
        <f t="shared" si="5"/>
        <v>128.55132790056868</v>
      </c>
      <c r="W17" s="181">
        <f t="shared" si="3"/>
        <v>1534890000</v>
      </c>
      <c r="X17" s="192">
        <f t="shared" si="4"/>
        <v>89.985929530398082</v>
      </c>
      <c r="Z17" s="193">
        <v>57.108518496804834</v>
      </c>
    </row>
    <row r="18" spans="1:26" x14ac:dyDescent="0.3">
      <c r="A18" s="180" t="s">
        <v>24</v>
      </c>
      <c r="B18" s="181">
        <v>46175.6656</v>
      </c>
      <c r="C18" s="181">
        <v>49985.838400000001</v>
      </c>
      <c r="D18" s="182">
        <v>90899.83679999999</v>
      </c>
      <c r="E18" s="183">
        <f t="shared" si="2"/>
        <v>187061.34080000001</v>
      </c>
      <c r="F18" s="194">
        <v>472370.70880000002</v>
      </c>
      <c r="G18" s="181">
        <v>473550.04800000001</v>
      </c>
      <c r="H18" s="194"/>
      <c r="I18" s="181">
        <v>316697.93439999997</v>
      </c>
      <c r="J18" s="182">
        <v>100788.14240000001</v>
      </c>
      <c r="K18" s="183">
        <f t="shared" si="7"/>
        <v>1363406.8336</v>
      </c>
      <c r="L18" s="195"/>
      <c r="M18" s="187">
        <f t="shared" si="0"/>
        <v>1550468.1743999999</v>
      </c>
      <c r="N18" s="188">
        <v>2384100</v>
      </c>
      <c r="P18" s="188">
        <f t="shared" si="6"/>
        <v>833631.8256000001</v>
      </c>
      <c r="Q18" s="189"/>
      <c r="R18" s="186"/>
      <c r="S18" s="189">
        <v>3656000</v>
      </c>
      <c r="T18" s="190">
        <v>17474000</v>
      </c>
      <c r="U18" s="181">
        <f t="shared" si="1"/>
        <v>2384100000</v>
      </c>
      <c r="V18" s="191">
        <f t="shared" si="5"/>
        <v>136.43699210255235</v>
      </c>
      <c r="W18" s="181">
        <f t="shared" si="3"/>
        <v>1668870000</v>
      </c>
      <c r="X18" s="192">
        <f t="shared" si="4"/>
        <v>95.505894471786661</v>
      </c>
      <c r="Z18" s="193">
        <v>58.263706077601007</v>
      </c>
    </row>
    <row r="19" spans="1:26" x14ac:dyDescent="0.3">
      <c r="A19" s="180" t="s">
        <v>25</v>
      </c>
      <c r="B19" s="181">
        <v>45903.510399999999</v>
      </c>
      <c r="C19" s="181">
        <v>53070.264000000003</v>
      </c>
      <c r="D19" s="182">
        <v>100788.14240000001</v>
      </c>
      <c r="E19" s="183">
        <f t="shared" si="2"/>
        <v>199761.91680000001</v>
      </c>
      <c r="F19" s="194">
        <v>522537.984</v>
      </c>
      <c r="G19" s="181">
        <v>510563.15519999998</v>
      </c>
      <c r="H19" s="194"/>
      <c r="I19" s="181">
        <v>343187.7072</v>
      </c>
      <c r="J19" s="182">
        <v>108952.7984</v>
      </c>
      <c r="K19" s="183">
        <f t="shared" si="7"/>
        <v>1485241.6447999999</v>
      </c>
      <c r="L19" s="195"/>
      <c r="M19" s="187">
        <f t="shared" si="0"/>
        <v>1685003.5615999999</v>
      </c>
      <c r="N19" s="188">
        <v>2466600</v>
      </c>
      <c r="P19" s="188">
        <f t="shared" si="6"/>
        <v>781596.4384000001</v>
      </c>
      <c r="Q19" s="189"/>
      <c r="R19" s="186"/>
      <c r="S19" s="189">
        <v>3870100</v>
      </c>
      <c r="T19" s="190">
        <v>17867000</v>
      </c>
      <c r="U19" s="181">
        <f t="shared" si="1"/>
        <v>2466600000</v>
      </c>
      <c r="V19" s="191">
        <f t="shared" si="5"/>
        <v>138.05339452622152</v>
      </c>
      <c r="W19" s="181">
        <f t="shared" si="3"/>
        <v>1726620000</v>
      </c>
      <c r="X19" s="192">
        <f t="shared" si="4"/>
        <v>96.637376168355061</v>
      </c>
      <c r="Z19" s="193">
        <v>60.866401746236079</v>
      </c>
    </row>
    <row r="20" spans="1:26" x14ac:dyDescent="0.3">
      <c r="A20" s="180" t="s">
        <v>26</v>
      </c>
      <c r="B20" s="181">
        <v>39825.3776</v>
      </c>
      <c r="C20" s="181">
        <v>57878.339200000002</v>
      </c>
      <c r="D20" s="182">
        <v>108680.64320000001</v>
      </c>
      <c r="E20" s="183">
        <f t="shared" si="2"/>
        <v>206384.36</v>
      </c>
      <c r="F20" s="194">
        <v>575971.12160000007</v>
      </c>
      <c r="G20" s="181">
        <v>524170.91519999999</v>
      </c>
      <c r="H20" s="194"/>
      <c r="I20" s="181">
        <v>339649.68960000004</v>
      </c>
      <c r="J20" s="182">
        <v>114758.776</v>
      </c>
      <c r="K20" s="183">
        <f t="shared" si="7"/>
        <v>1554550.5024000001</v>
      </c>
      <c r="L20" s="195"/>
      <c r="M20" s="187">
        <f t="shared" si="0"/>
        <v>1760934.8624</v>
      </c>
      <c r="N20" s="188">
        <v>2495000</v>
      </c>
      <c r="P20" s="188">
        <f>N20-M20</f>
        <v>734065.13760000002</v>
      </c>
      <c r="Q20" s="189"/>
      <c r="R20" s="186" t="s">
        <v>111</v>
      </c>
      <c r="S20" s="189">
        <v>4156000</v>
      </c>
      <c r="T20" s="190">
        <v>18298000</v>
      </c>
      <c r="U20" s="181">
        <f t="shared" si="1"/>
        <v>2495000000</v>
      </c>
      <c r="V20" s="191">
        <f t="shared" si="5"/>
        <v>136.35369985790797</v>
      </c>
      <c r="W20" s="181">
        <f t="shared" si="3"/>
        <v>1746500000</v>
      </c>
      <c r="X20" s="192">
        <f t="shared" si="4"/>
        <v>95.447589900535576</v>
      </c>
      <c r="Z20" s="193">
        <v>73.395999562793747</v>
      </c>
    </row>
    <row r="21" spans="1:26" x14ac:dyDescent="0.3">
      <c r="A21" s="180" t="s">
        <v>27</v>
      </c>
      <c r="B21" s="181">
        <v>36000</v>
      </c>
      <c r="C21" s="181">
        <v>63000</v>
      </c>
      <c r="D21" s="182">
        <v>106000</v>
      </c>
      <c r="E21" s="183">
        <f t="shared" si="2"/>
        <v>205000</v>
      </c>
      <c r="F21" s="194">
        <v>654000</v>
      </c>
      <c r="G21" s="181">
        <v>528000</v>
      </c>
      <c r="H21" s="194"/>
      <c r="I21" s="181">
        <v>338000</v>
      </c>
      <c r="J21" s="182">
        <v>112000</v>
      </c>
      <c r="K21" s="183">
        <f t="shared" si="7"/>
        <v>1632000</v>
      </c>
      <c r="L21" s="195"/>
      <c r="M21" s="187">
        <f t="shared" si="0"/>
        <v>1837000</v>
      </c>
      <c r="N21" s="188">
        <v>2466000</v>
      </c>
      <c r="P21" s="188">
        <f t="shared" si="6"/>
        <v>629000</v>
      </c>
      <c r="Q21" s="189"/>
      <c r="R21" s="186"/>
      <c r="S21" s="189">
        <v>4211000</v>
      </c>
      <c r="T21" s="190">
        <v>18733000</v>
      </c>
      <c r="U21" s="181">
        <f t="shared" si="1"/>
        <v>2466000000</v>
      </c>
      <c r="V21" s="191">
        <f t="shared" si="5"/>
        <v>131.63935301339882</v>
      </c>
      <c r="W21" s="181">
        <f t="shared" si="3"/>
        <v>1726200000</v>
      </c>
      <c r="X21" s="192">
        <f t="shared" si="4"/>
        <v>92.147547109379175</v>
      </c>
      <c r="Z21" s="193">
        <v>51.353226925746007</v>
      </c>
    </row>
    <row r="22" spans="1:26" x14ac:dyDescent="0.3">
      <c r="A22" s="180" t="s">
        <v>28</v>
      </c>
      <c r="B22" s="181">
        <v>38000</v>
      </c>
      <c r="C22" s="181">
        <v>77000</v>
      </c>
      <c r="D22" s="182">
        <v>111000</v>
      </c>
      <c r="E22" s="183">
        <f t="shared" si="2"/>
        <v>226000</v>
      </c>
      <c r="F22" s="194">
        <v>581000</v>
      </c>
      <c r="G22" s="181">
        <v>545000</v>
      </c>
      <c r="H22" s="194"/>
      <c r="I22" s="181">
        <v>300000</v>
      </c>
      <c r="J22" s="182">
        <v>109000</v>
      </c>
      <c r="K22" s="183">
        <f t="shared" si="7"/>
        <v>1535000</v>
      </c>
      <c r="L22" s="195"/>
      <c r="M22" s="187">
        <f t="shared" si="0"/>
        <v>1761000</v>
      </c>
      <c r="N22" s="188">
        <v>2549000</v>
      </c>
      <c r="P22" s="188">
        <f t="shared" si="6"/>
        <v>788000</v>
      </c>
      <c r="Q22" s="189"/>
      <c r="R22" s="186"/>
      <c r="S22" s="189">
        <v>4193000</v>
      </c>
      <c r="T22" s="190">
        <v>19167000</v>
      </c>
      <c r="U22" s="181">
        <f t="shared" si="1"/>
        <v>2549000000</v>
      </c>
      <c r="V22" s="191">
        <f t="shared" si="5"/>
        <v>132.98899149580006</v>
      </c>
      <c r="W22" s="181">
        <f t="shared" si="3"/>
        <v>1784300000</v>
      </c>
      <c r="X22" s="192">
        <f t="shared" si="4"/>
        <v>93.092294047060051</v>
      </c>
      <c r="Z22" s="193">
        <v>64.120623989148015</v>
      </c>
    </row>
    <row r="23" spans="1:26" x14ac:dyDescent="0.3">
      <c r="A23" s="180" t="s">
        <v>29</v>
      </c>
      <c r="B23" s="181">
        <v>39000</v>
      </c>
      <c r="C23" s="181">
        <v>82000</v>
      </c>
      <c r="D23" s="182">
        <v>128000</v>
      </c>
      <c r="E23" s="183">
        <f t="shared" si="2"/>
        <v>249000</v>
      </c>
      <c r="F23" s="194">
        <v>701000</v>
      </c>
      <c r="G23" s="181">
        <v>662000</v>
      </c>
      <c r="H23" s="194"/>
      <c r="I23" s="181">
        <v>320000</v>
      </c>
      <c r="J23" s="182">
        <v>128000</v>
      </c>
      <c r="K23" s="183">
        <f t="shared" si="7"/>
        <v>1811000</v>
      </c>
      <c r="L23" s="195"/>
      <c r="M23" s="187">
        <f t="shared" si="0"/>
        <v>2060000</v>
      </c>
      <c r="N23" s="188">
        <v>2695000</v>
      </c>
      <c r="P23" s="188">
        <f t="shared" si="6"/>
        <v>635000</v>
      </c>
      <c r="Q23" s="189"/>
      <c r="R23" s="186"/>
      <c r="S23" s="189">
        <v>4649000</v>
      </c>
      <c r="T23" s="190">
        <v>19618000</v>
      </c>
      <c r="U23" s="181">
        <f t="shared" si="1"/>
        <v>2695000000</v>
      </c>
      <c r="V23" s="191">
        <f t="shared" si="5"/>
        <v>137.37384035069834</v>
      </c>
      <c r="W23" s="181">
        <f t="shared" si="3"/>
        <v>1886500000</v>
      </c>
      <c r="X23" s="192">
        <f t="shared" si="4"/>
        <v>96.161688245488833</v>
      </c>
      <c r="Z23" s="193">
        <v>63.716994596798855</v>
      </c>
    </row>
    <row r="24" spans="1:26" x14ac:dyDescent="0.3">
      <c r="A24" s="180" t="s">
        <v>30</v>
      </c>
      <c r="B24" s="181">
        <v>38000</v>
      </c>
      <c r="C24" s="181">
        <v>85000</v>
      </c>
      <c r="D24" s="182">
        <v>130000</v>
      </c>
      <c r="E24" s="183">
        <f t="shared" si="2"/>
        <v>253000</v>
      </c>
      <c r="F24" s="194">
        <v>640000</v>
      </c>
      <c r="G24" s="181">
        <v>698000</v>
      </c>
      <c r="H24" s="194"/>
      <c r="I24" s="181">
        <v>305000</v>
      </c>
      <c r="J24" s="182">
        <v>136000</v>
      </c>
      <c r="K24" s="183">
        <f t="shared" si="7"/>
        <v>1779000</v>
      </c>
      <c r="L24" s="195"/>
      <c r="M24" s="187">
        <f t="shared" si="0"/>
        <v>2032000</v>
      </c>
      <c r="N24" s="188">
        <v>2696000</v>
      </c>
      <c r="P24" s="188">
        <f t="shared" si="6"/>
        <v>664000</v>
      </c>
      <c r="Q24" s="186"/>
      <c r="R24" s="186"/>
      <c r="S24" s="189">
        <v>4846000</v>
      </c>
      <c r="T24" s="190">
        <v>19211000</v>
      </c>
      <c r="U24" s="181">
        <f t="shared" si="1"/>
        <v>2696000000</v>
      </c>
      <c r="V24" s="191">
        <f t="shared" si="5"/>
        <v>140.33626568112018</v>
      </c>
      <c r="W24" s="181">
        <f t="shared" si="3"/>
        <v>1887200000</v>
      </c>
      <c r="X24" s="192">
        <f t="shared" si="4"/>
        <v>98.23538597678413</v>
      </c>
      <c r="Z24" s="193">
        <v>74.800895320389358</v>
      </c>
    </row>
    <row r="25" spans="1:26" x14ac:dyDescent="0.3">
      <c r="A25" s="180" t="s">
        <v>31</v>
      </c>
      <c r="B25" s="181">
        <v>36000</v>
      </c>
      <c r="C25" s="181">
        <v>83000</v>
      </c>
      <c r="D25" s="182">
        <v>128000</v>
      </c>
      <c r="E25" s="183">
        <f t="shared" si="2"/>
        <v>247000</v>
      </c>
      <c r="F25" s="194">
        <v>1074000</v>
      </c>
      <c r="G25" s="181">
        <v>339000</v>
      </c>
      <c r="H25" s="194"/>
      <c r="I25" s="181">
        <v>367000</v>
      </c>
      <c r="J25" s="182">
        <v>103000</v>
      </c>
      <c r="K25" s="183">
        <f t="shared" si="7"/>
        <v>1883000</v>
      </c>
      <c r="L25" s="195"/>
      <c r="M25" s="187">
        <f t="shared" si="0"/>
        <v>2130000</v>
      </c>
      <c r="N25" s="188">
        <v>2658000</v>
      </c>
      <c r="P25" s="188">
        <f t="shared" si="6"/>
        <v>528000</v>
      </c>
      <c r="Q25" s="186"/>
      <c r="R25" s="186"/>
      <c r="S25" s="189">
        <v>5104000</v>
      </c>
      <c r="T25" s="190">
        <v>19640000</v>
      </c>
      <c r="U25" s="181">
        <f t="shared" si="1"/>
        <v>2658000000</v>
      </c>
      <c r="V25" s="191">
        <f t="shared" si="5"/>
        <v>135.33604887983708</v>
      </c>
      <c r="W25" s="181">
        <f t="shared" si="3"/>
        <v>1860600000</v>
      </c>
      <c r="X25" s="192">
        <f t="shared" si="4"/>
        <v>94.735234215885953</v>
      </c>
      <c r="Z25" s="193">
        <v>59.317718940936864</v>
      </c>
    </row>
    <row r="26" spans="1:26" x14ac:dyDescent="0.3">
      <c r="A26" s="180" t="s">
        <v>32</v>
      </c>
      <c r="B26" s="181">
        <v>36000</v>
      </c>
      <c r="C26" s="181">
        <v>89000</v>
      </c>
      <c r="D26" s="182">
        <v>119000</v>
      </c>
      <c r="E26" s="183">
        <f t="shared" si="2"/>
        <v>244000</v>
      </c>
      <c r="F26" s="194">
        <v>889000</v>
      </c>
      <c r="G26" s="181">
        <v>500000</v>
      </c>
      <c r="H26" s="194"/>
      <c r="I26" s="181">
        <v>293000</v>
      </c>
      <c r="J26" s="182">
        <v>124000</v>
      </c>
      <c r="K26" s="183">
        <f t="shared" si="7"/>
        <v>1806000</v>
      </c>
      <c r="L26" s="195"/>
      <c r="M26" s="187">
        <f t="shared" si="0"/>
        <v>2050000</v>
      </c>
      <c r="N26" s="188">
        <v>2722000</v>
      </c>
      <c r="P26" s="188">
        <f t="shared" si="6"/>
        <v>672000</v>
      </c>
      <c r="Q26" s="186"/>
      <c r="R26" s="186"/>
      <c r="S26" s="189">
        <v>4824000</v>
      </c>
      <c r="T26" s="190">
        <v>20080000</v>
      </c>
      <c r="U26" s="181">
        <f t="shared" si="1"/>
        <v>2722000000</v>
      </c>
      <c r="V26" s="191">
        <f t="shared" si="5"/>
        <v>135.55776892430279</v>
      </c>
      <c r="W26" s="181">
        <f t="shared" si="3"/>
        <v>1905400000</v>
      </c>
      <c r="X26" s="192">
        <f t="shared" si="4"/>
        <v>94.890438247011957</v>
      </c>
      <c r="Z26" s="193">
        <v>69.820717131474098</v>
      </c>
    </row>
    <row r="27" spans="1:26" x14ac:dyDescent="0.3">
      <c r="A27" s="180" t="s">
        <v>33</v>
      </c>
      <c r="B27" s="181">
        <v>39000</v>
      </c>
      <c r="C27" s="181">
        <v>102000</v>
      </c>
      <c r="D27" s="182">
        <v>139000</v>
      </c>
      <c r="E27" s="183">
        <f t="shared" si="2"/>
        <v>280000</v>
      </c>
      <c r="F27" s="194">
        <v>810000</v>
      </c>
      <c r="G27" s="181">
        <v>546000</v>
      </c>
      <c r="H27" s="194"/>
      <c r="I27" s="181">
        <v>254000</v>
      </c>
      <c r="J27" s="182">
        <v>144000</v>
      </c>
      <c r="K27" s="183">
        <f t="shared" si="7"/>
        <v>1754000</v>
      </c>
      <c r="L27" s="195"/>
      <c r="M27" s="187">
        <f t="shared" si="0"/>
        <v>2034000</v>
      </c>
      <c r="N27" s="188">
        <v>2759000</v>
      </c>
      <c r="P27" s="188">
        <f t="shared" si="6"/>
        <v>725000</v>
      </c>
      <c r="Q27" s="186"/>
      <c r="R27" s="186"/>
      <c r="S27" s="189">
        <v>5164000</v>
      </c>
      <c r="T27" s="190">
        <v>20524000</v>
      </c>
      <c r="U27" s="181">
        <f t="shared" si="1"/>
        <v>2759000000</v>
      </c>
      <c r="V27" s="191">
        <f t="shared" si="5"/>
        <v>134.42798674722277</v>
      </c>
      <c r="W27" s="181">
        <f t="shared" si="3"/>
        <v>1931300000</v>
      </c>
      <c r="X27" s="192">
        <f t="shared" si="4"/>
        <v>94.09959072305594</v>
      </c>
      <c r="Z27" s="193">
        <v>62.755798090040926</v>
      </c>
    </row>
    <row r="28" spans="1:26" x14ac:dyDescent="0.3">
      <c r="A28" s="180" t="s">
        <v>34</v>
      </c>
      <c r="B28" s="181">
        <v>42000</v>
      </c>
      <c r="C28" s="181">
        <v>104000</v>
      </c>
      <c r="D28" s="182">
        <v>153000</v>
      </c>
      <c r="E28" s="183">
        <f t="shared" si="2"/>
        <v>299000</v>
      </c>
      <c r="F28" s="194">
        <v>929000</v>
      </c>
      <c r="G28" s="181">
        <v>570000</v>
      </c>
      <c r="H28" s="194"/>
      <c r="I28" s="181">
        <v>293000</v>
      </c>
      <c r="J28" s="182">
        <v>97000</v>
      </c>
      <c r="K28" s="183">
        <f t="shared" si="7"/>
        <v>1889000</v>
      </c>
      <c r="L28" s="195"/>
      <c r="M28" s="187">
        <f t="shared" si="0"/>
        <v>2188000</v>
      </c>
      <c r="N28" s="188">
        <v>2573000</v>
      </c>
      <c r="P28" s="188">
        <f t="shared" si="6"/>
        <v>385000</v>
      </c>
      <c r="Q28" s="186"/>
      <c r="R28" s="186"/>
      <c r="S28" s="189">
        <v>5157000</v>
      </c>
      <c r="T28" s="190">
        <v>20980000</v>
      </c>
      <c r="U28" s="181">
        <f t="shared" si="1"/>
        <v>2573000000</v>
      </c>
      <c r="V28" s="191">
        <f t="shared" si="5"/>
        <v>122.64061010486178</v>
      </c>
      <c r="W28" s="181">
        <f t="shared" si="3"/>
        <v>1801100000</v>
      </c>
      <c r="X28" s="192">
        <f t="shared" si="4"/>
        <v>85.848427073403244</v>
      </c>
      <c r="Z28" s="193">
        <v>70.686367969494754</v>
      </c>
    </row>
    <row r="29" spans="1:26" x14ac:dyDescent="0.3">
      <c r="A29" s="180" t="s">
        <v>35</v>
      </c>
      <c r="B29" s="181">
        <v>48000</v>
      </c>
      <c r="C29" s="181">
        <v>111000</v>
      </c>
      <c r="D29" s="182">
        <v>159000</v>
      </c>
      <c r="E29" s="183">
        <f t="shared" si="2"/>
        <v>318000</v>
      </c>
      <c r="F29" s="194">
        <v>895000</v>
      </c>
      <c r="G29" s="181">
        <v>586000</v>
      </c>
      <c r="H29" s="194"/>
      <c r="I29" s="181">
        <v>250000</v>
      </c>
      <c r="J29" s="182">
        <v>74000</v>
      </c>
      <c r="K29" s="183">
        <f t="shared" si="7"/>
        <v>1805000</v>
      </c>
      <c r="L29" s="195"/>
      <c r="M29" s="187">
        <f t="shared" si="0"/>
        <v>2123000</v>
      </c>
      <c r="N29" s="188">
        <v>2878000</v>
      </c>
      <c r="P29" s="188">
        <f t="shared" si="6"/>
        <v>755000</v>
      </c>
      <c r="Q29" s="186"/>
      <c r="R29" s="186"/>
      <c r="S29" s="189">
        <v>5774000</v>
      </c>
      <c r="T29" s="190">
        <v>21447000</v>
      </c>
      <c r="U29" s="181">
        <f t="shared" si="1"/>
        <v>2878000000</v>
      </c>
      <c r="V29" s="191">
        <f t="shared" si="5"/>
        <v>134.19126218119084</v>
      </c>
      <c r="W29" s="181">
        <f t="shared" si="3"/>
        <v>2014600000</v>
      </c>
      <c r="X29" s="192">
        <f t="shared" si="4"/>
        <v>93.933883526833583</v>
      </c>
      <c r="Z29" s="193">
        <v>75.162027323168743</v>
      </c>
    </row>
    <row r="30" spans="1:26" x14ac:dyDescent="0.3">
      <c r="A30" s="180" t="s">
        <v>36</v>
      </c>
      <c r="B30" s="181">
        <v>49000</v>
      </c>
      <c r="C30" s="181">
        <v>111000</v>
      </c>
      <c r="D30" s="182">
        <v>160000</v>
      </c>
      <c r="E30" s="183">
        <f t="shared" si="2"/>
        <v>320000</v>
      </c>
      <c r="F30" s="194">
        <v>915000</v>
      </c>
      <c r="G30" s="181">
        <v>617000</v>
      </c>
      <c r="H30" s="194">
        <v>131000</v>
      </c>
      <c r="I30" s="181">
        <v>266000</v>
      </c>
      <c r="J30" s="182">
        <v>196000</v>
      </c>
      <c r="K30" s="183">
        <f t="shared" si="7"/>
        <v>2125000</v>
      </c>
      <c r="L30" s="195"/>
      <c r="M30" s="187">
        <f t="shared" si="0"/>
        <v>2445000</v>
      </c>
      <c r="N30" s="188">
        <v>2897000</v>
      </c>
      <c r="P30" s="188">
        <f t="shared" si="6"/>
        <v>452000</v>
      </c>
      <c r="Q30" s="186"/>
      <c r="R30" s="186"/>
      <c r="S30" s="189">
        <v>5828000</v>
      </c>
      <c r="T30" s="190">
        <v>21921000</v>
      </c>
      <c r="U30" s="181">
        <f t="shared" si="1"/>
        <v>2897000000</v>
      </c>
      <c r="V30" s="191">
        <f t="shared" si="5"/>
        <v>132.15637972720222</v>
      </c>
      <c r="W30" s="181">
        <f t="shared" si="3"/>
        <v>2027900000</v>
      </c>
      <c r="X30" s="192">
        <f t="shared" si="4"/>
        <v>92.509465809041558</v>
      </c>
      <c r="Z30" s="193">
        <v>77.961771816979152</v>
      </c>
    </row>
    <row r="31" spans="1:26" x14ac:dyDescent="0.3">
      <c r="A31" s="180" t="s">
        <v>37</v>
      </c>
      <c r="B31" s="181">
        <v>50000</v>
      </c>
      <c r="C31" s="181">
        <v>117000</v>
      </c>
      <c r="D31" s="182">
        <v>162000</v>
      </c>
      <c r="E31" s="183">
        <f t="shared" si="2"/>
        <v>329000</v>
      </c>
      <c r="F31" s="194">
        <v>965000</v>
      </c>
      <c r="G31" s="181">
        <v>638000</v>
      </c>
      <c r="H31" s="194">
        <v>163000</v>
      </c>
      <c r="I31" s="181">
        <v>278000</v>
      </c>
      <c r="J31" s="182">
        <v>224000</v>
      </c>
      <c r="K31" s="183">
        <f t="shared" si="7"/>
        <v>2268000</v>
      </c>
      <c r="L31" s="195"/>
      <c r="M31" s="187">
        <f t="shared" si="0"/>
        <v>2597000</v>
      </c>
      <c r="N31" s="188">
        <v>2988000</v>
      </c>
      <c r="P31" s="188">
        <f t="shared" si="6"/>
        <v>391000</v>
      </c>
      <c r="Q31" s="186"/>
      <c r="R31" s="186"/>
      <c r="S31" s="189">
        <v>5886000</v>
      </c>
      <c r="T31" s="190">
        <v>22410000</v>
      </c>
      <c r="U31" s="181">
        <f t="shared" si="1"/>
        <v>2988000000</v>
      </c>
      <c r="V31" s="191">
        <f t="shared" si="5"/>
        <v>133.33333333333334</v>
      </c>
      <c r="W31" s="181">
        <f t="shared" si="3"/>
        <v>2091600000</v>
      </c>
      <c r="X31" s="192">
        <f t="shared" si="4"/>
        <v>93.333333333333329</v>
      </c>
      <c r="Z31" s="193">
        <v>75.011155734047307</v>
      </c>
    </row>
    <row r="32" spans="1:26" x14ac:dyDescent="0.3">
      <c r="A32" s="180" t="s">
        <v>38</v>
      </c>
      <c r="B32" s="181">
        <v>56000</v>
      </c>
      <c r="C32" s="181">
        <v>136000</v>
      </c>
      <c r="D32" s="182">
        <v>171000</v>
      </c>
      <c r="E32" s="183">
        <f t="shared" si="2"/>
        <v>363000</v>
      </c>
      <c r="F32" s="194">
        <v>1017000</v>
      </c>
      <c r="G32" s="181">
        <v>699000</v>
      </c>
      <c r="H32" s="194">
        <v>211000</v>
      </c>
      <c r="I32" s="181">
        <v>293000</v>
      </c>
      <c r="J32" s="182">
        <v>33000</v>
      </c>
      <c r="K32" s="183">
        <f t="shared" si="7"/>
        <v>2253000</v>
      </c>
      <c r="L32" s="195"/>
      <c r="M32" s="187">
        <f t="shared" si="0"/>
        <v>2616000</v>
      </c>
      <c r="N32" s="188">
        <v>2844000</v>
      </c>
      <c r="P32" s="188">
        <f t="shared" si="6"/>
        <v>228000</v>
      </c>
      <c r="Q32" s="186"/>
      <c r="R32" s="186"/>
      <c r="S32" s="189">
        <v>5722000</v>
      </c>
      <c r="T32" s="190">
        <v>22907000</v>
      </c>
      <c r="U32" s="181">
        <f t="shared" si="1"/>
        <v>2844000000</v>
      </c>
      <c r="V32" s="191">
        <f t="shared" si="5"/>
        <v>124.15418867595058</v>
      </c>
      <c r="W32" s="181">
        <f t="shared" si="3"/>
        <v>1990800000</v>
      </c>
      <c r="X32" s="192">
        <f t="shared" si="4"/>
        <v>86.907932073165412</v>
      </c>
      <c r="Z32" s="193">
        <v>73.121753175885104</v>
      </c>
    </row>
    <row r="33" spans="1:26" x14ac:dyDescent="0.3">
      <c r="A33" s="180" t="s">
        <v>39</v>
      </c>
      <c r="B33" s="181">
        <v>55000</v>
      </c>
      <c r="C33" s="181">
        <v>146000</v>
      </c>
      <c r="D33" s="182">
        <v>172000</v>
      </c>
      <c r="E33" s="183">
        <f t="shared" si="2"/>
        <v>373000</v>
      </c>
      <c r="F33" s="194">
        <v>872000</v>
      </c>
      <c r="G33" s="181">
        <v>742000</v>
      </c>
      <c r="H33" s="194">
        <v>232000</v>
      </c>
      <c r="I33" s="181">
        <v>280000</v>
      </c>
      <c r="J33" s="182">
        <v>34000</v>
      </c>
      <c r="K33" s="183">
        <f t="shared" si="7"/>
        <v>2160000</v>
      </c>
      <c r="L33" s="195"/>
      <c r="M33" s="187">
        <f t="shared" si="0"/>
        <v>2533000</v>
      </c>
      <c r="N33" s="188">
        <v>2850000</v>
      </c>
      <c r="P33" s="188">
        <f>N33-M33</f>
        <v>317000</v>
      </c>
      <c r="Q33" s="186"/>
      <c r="R33" s="186"/>
      <c r="S33" s="189">
        <v>5194000</v>
      </c>
      <c r="T33" s="190">
        <v>23434000</v>
      </c>
      <c r="U33" s="181">
        <f t="shared" si="1"/>
        <v>2850000000</v>
      </c>
      <c r="V33" s="191">
        <f t="shared" si="5"/>
        <v>121.61816164547238</v>
      </c>
      <c r="W33" s="181">
        <f t="shared" si="3"/>
        <v>1995000000</v>
      </c>
      <c r="X33" s="192">
        <f t="shared" si="4"/>
        <v>85.132713151830671</v>
      </c>
      <c r="Z33" s="193">
        <v>81.206793547836483</v>
      </c>
    </row>
    <row r="34" spans="1:26" x14ac:dyDescent="0.3">
      <c r="A34" s="180" t="s">
        <v>40</v>
      </c>
      <c r="B34" s="181">
        <v>53000</v>
      </c>
      <c r="C34" s="181">
        <v>161000</v>
      </c>
      <c r="D34" s="182">
        <v>168000</v>
      </c>
      <c r="E34" s="183">
        <f t="shared" si="2"/>
        <v>382000</v>
      </c>
      <c r="F34" s="194">
        <v>915000</v>
      </c>
      <c r="G34" s="181">
        <v>809000</v>
      </c>
      <c r="H34" s="194">
        <v>249000</v>
      </c>
      <c r="I34" s="181">
        <v>283000</v>
      </c>
      <c r="J34" s="182">
        <v>14000</v>
      </c>
      <c r="K34" s="183">
        <f t="shared" si="7"/>
        <v>2270000</v>
      </c>
      <c r="L34" s="195"/>
      <c r="M34" s="187">
        <f t="shared" si="0"/>
        <v>2652000</v>
      </c>
      <c r="N34" s="188">
        <v>2973000</v>
      </c>
      <c r="P34" s="188">
        <f t="shared" si="6"/>
        <v>321000</v>
      </c>
      <c r="Q34" s="186"/>
      <c r="R34" s="186"/>
      <c r="S34" s="189">
        <v>5951000</v>
      </c>
      <c r="T34" s="190">
        <v>23994000</v>
      </c>
      <c r="U34" s="181">
        <f t="shared" si="1"/>
        <v>2973000000</v>
      </c>
      <c r="V34" s="191">
        <f t="shared" si="5"/>
        <v>123.90597649412354</v>
      </c>
      <c r="W34" s="181">
        <f t="shared" si="3"/>
        <v>2081100000</v>
      </c>
      <c r="X34" s="192">
        <f t="shared" si="4"/>
        <v>86.734183545886467</v>
      </c>
      <c r="Z34" s="193">
        <v>74.226890055847292</v>
      </c>
    </row>
    <row r="35" spans="1:26" x14ac:dyDescent="0.3">
      <c r="A35" s="180" t="s">
        <v>41</v>
      </c>
      <c r="B35" s="181">
        <v>50000</v>
      </c>
      <c r="C35" s="181">
        <v>159000</v>
      </c>
      <c r="D35" s="182">
        <v>174000</v>
      </c>
      <c r="E35" s="183">
        <f t="shared" si="2"/>
        <v>383000</v>
      </c>
      <c r="F35" s="194">
        <v>834000</v>
      </c>
      <c r="G35" s="181">
        <v>761000</v>
      </c>
      <c r="H35" s="194">
        <v>269000</v>
      </c>
      <c r="I35" s="181">
        <v>276000</v>
      </c>
      <c r="J35" s="182">
        <v>12000</v>
      </c>
      <c r="K35" s="183">
        <f t="shared" si="7"/>
        <v>2152000</v>
      </c>
      <c r="L35" s="195"/>
      <c r="M35" s="187">
        <f t="shared" si="0"/>
        <v>2535000</v>
      </c>
      <c r="N35" s="188">
        <v>2912000</v>
      </c>
      <c r="P35" s="188">
        <f t="shared" si="6"/>
        <v>377000</v>
      </c>
      <c r="Q35" s="186"/>
      <c r="R35" s="186"/>
      <c r="S35" s="189">
        <v>5841000</v>
      </c>
      <c r="T35" s="190">
        <v>24591000</v>
      </c>
      <c r="U35" s="181">
        <f t="shared" si="1"/>
        <v>2912000000</v>
      </c>
      <c r="V35" s="191">
        <f t="shared" si="5"/>
        <v>118.4173071448904</v>
      </c>
      <c r="W35" s="181">
        <f t="shared" si="3"/>
        <v>2038400000</v>
      </c>
      <c r="X35" s="192">
        <f t="shared" si="4"/>
        <v>82.892115001423278</v>
      </c>
      <c r="Z35" s="193">
        <v>82.55052661542841</v>
      </c>
    </row>
    <row r="36" spans="1:26" x14ac:dyDescent="0.3">
      <c r="A36" s="180" t="s">
        <v>42</v>
      </c>
      <c r="B36" s="181">
        <v>50000</v>
      </c>
      <c r="C36" s="181">
        <v>154000</v>
      </c>
      <c r="D36" s="182">
        <v>160000</v>
      </c>
      <c r="E36" s="183">
        <f t="shared" si="2"/>
        <v>364000</v>
      </c>
      <c r="F36" s="194">
        <v>778000</v>
      </c>
      <c r="G36" s="181">
        <v>798000</v>
      </c>
      <c r="H36" s="194">
        <v>306000</v>
      </c>
      <c r="I36" s="181">
        <v>257000</v>
      </c>
      <c r="J36" s="182">
        <v>22000</v>
      </c>
      <c r="K36" s="183">
        <f t="shared" si="7"/>
        <v>2161000</v>
      </c>
      <c r="L36" s="195"/>
      <c r="M36" s="187">
        <f t="shared" si="0"/>
        <v>2525000</v>
      </c>
      <c r="N36" s="188">
        <v>3136000</v>
      </c>
      <c r="P36" s="188">
        <f t="shared" si="6"/>
        <v>611000</v>
      </c>
      <c r="Q36" s="186"/>
      <c r="R36" s="186"/>
      <c r="S36" s="189">
        <v>6166000</v>
      </c>
      <c r="T36" s="190">
        <v>25215000</v>
      </c>
      <c r="U36" s="181">
        <f t="shared" si="1"/>
        <v>3136000000</v>
      </c>
      <c r="V36" s="191">
        <f t="shared" si="5"/>
        <v>124.37041443585167</v>
      </c>
      <c r="W36" s="181">
        <f t="shared" si="3"/>
        <v>2195200000</v>
      </c>
      <c r="X36" s="192">
        <f t="shared" si="4"/>
        <v>87.059290105096167</v>
      </c>
      <c r="Z36" s="193">
        <v>79.238548483045804</v>
      </c>
    </row>
    <row r="37" spans="1:26" x14ac:dyDescent="0.3">
      <c r="A37" s="180" t="s">
        <v>43</v>
      </c>
      <c r="B37" s="181">
        <v>49000</v>
      </c>
      <c r="C37" s="181">
        <v>148000</v>
      </c>
      <c r="D37" s="182">
        <v>165000</v>
      </c>
      <c r="E37" s="183">
        <f t="shared" si="2"/>
        <v>362000</v>
      </c>
      <c r="F37" s="194">
        <v>775000</v>
      </c>
      <c r="G37" s="181">
        <v>927000</v>
      </c>
      <c r="H37" s="194">
        <v>334000</v>
      </c>
      <c r="I37" s="181">
        <v>246000</v>
      </c>
      <c r="J37" s="182">
        <v>12000</v>
      </c>
      <c r="K37" s="183">
        <f t="shared" si="7"/>
        <v>2294000</v>
      </c>
      <c r="L37" s="195"/>
      <c r="M37" s="187">
        <f t="shared" si="0"/>
        <v>2656000</v>
      </c>
      <c r="N37" s="188">
        <v>3394000</v>
      </c>
      <c r="P37" s="188">
        <f t="shared" si="6"/>
        <v>738000</v>
      </c>
      <c r="Q37" s="186"/>
      <c r="R37" s="186"/>
      <c r="S37" s="189">
        <v>6509000</v>
      </c>
      <c r="T37" s="190">
        <v>25887000</v>
      </c>
      <c r="U37" s="181">
        <f t="shared" si="1"/>
        <v>3394000000</v>
      </c>
      <c r="V37" s="191">
        <f t="shared" si="5"/>
        <v>131.10827828639859</v>
      </c>
      <c r="W37" s="181">
        <f t="shared" si="3"/>
        <v>2375800000</v>
      </c>
      <c r="X37" s="192">
        <f t="shared" si="4"/>
        <v>91.775794800479005</v>
      </c>
      <c r="Z37" s="193">
        <v>76.602155522076714</v>
      </c>
    </row>
    <row r="38" spans="1:26" x14ac:dyDescent="0.3">
      <c r="A38" s="180" t="s">
        <v>44</v>
      </c>
      <c r="B38" s="181">
        <v>43000</v>
      </c>
      <c r="C38" s="181">
        <v>146000</v>
      </c>
      <c r="D38" s="182">
        <v>165000</v>
      </c>
      <c r="E38" s="183">
        <f t="shared" si="2"/>
        <v>354000</v>
      </c>
      <c r="F38" s="194">
        <v>779000</v>
      </c>
      <c r="G38" s="181">
        <v>931000</v>
      </c>
      <c r="H38" s="194">
        <v>295000</v>
      </c>
      <c r="I38" s="181">
        <v>255000</v>
      </c>
      <c r="J38" s="182">
        <v>15000</v>
      </c>
      <c r="K38" s="183">
        <f t="shared" si="7"/>
        <v>2275000</v>
      </c>
      <c r="L38" s="195"/>
      <c r="M38" s="187">
        <f t="shared" si="0"/>
        <v>2629000</v>
      </c>
      <c r="N38" s="188">
        <v>3251000</v>
      </c>
      <c r="P38" s="188">
        <f t="shared" si="6"/>
        <v>622000</v>
      </c>
      <c r="Q38" s="186"/>
      <c r="R38" s="186"/>
      <c r="S38" s="189">
        <v>6853000</v>
      </c>
      <c r="T38" s="190">
        <v>26564000</v>
      </c>
      <c r="U38" s="181">
        <f t="shared" si="1"/>
        <v>3251000000</v>
      </c>
      <c r="V38" s="191">
        <f t="shared" si="5"/>
        <v>122.38367715705466</v>
      </c>
      <c r="W38" s="181">
        <f t="shared" si="3"/>
        <v>2275700000</v>
      </c>
      <c r="X38" s="192">
        <f t="shared" si="4"/>
        <v>85.668574009938268</v>
      </c>
      <c r="Z38" s="193">
        <v>89.896099984942026</v>
      </c>
    </row>
    <row r="39" spans="1:26" x14ac:dyDescent="0.3">
      <c r="A39" s="180" t="s">
        <v>45</v>
      </c>
      <c r="B39" s="181">
        <v>36000</v>
      </c>
      <c r="C39" s="181">
        <v>144000</v>
      </c>
      <c r="D39" s="182">
        <v>152000</v>
      </c>
      <c r="E39" s="183">
        <f t="shared" si="2"/>
        <v>332000</v>
      </c>
      <c r="F39" s="194">
        <v>735000</v>
      </c>
      <c r="G39" s="181">
        <v>854000</v>
      </c>
      <c r="H39" s="194">
        <v>272000</v>
      </c>
      <c r="I39" s="181">
        <v>207000</v>
      </c>
      <c r="J39" s="182">
        <v>18000</v>
      </c>
      <c r="K39" s="183">
        <f t="shared" si="7"/>
        <v>2086000</v>
      </c>
      <c r="L39" s="195"/>
      <c r="M39" s="187">
        <f t="shared" si="0"/>
        <v>2418000</v>
      </c>
      <c r="N39" s="188">
        <v>2958000</v>
      </c>
      <c r="P39" s="188">
        <f t="shared" si="6"/>
        <v>540000</v>
      </c>
      <c r="Q39" s="186"/>
      <c r="R39" s="186" t="s">
        <v>112</v>
      </c>
      <c r="S39" s="189">
        <v>5833000</v>
      </c>
      <c r="T39" s="190">
        <v>27241000</v>
      </c>
      <c r="U39" s="181">
        <f t="shared" si="1"/>
        <v>2958000000</v>
      </c>
      <c r="V39" s="191">
        <f t="shared" si="5"/>
        <v>108.58632208802908</v>
      </c>
      <c r="W39" s="181">
        <f t="shared" si="3"/>
        <v>2070600000</v>
      </c>
      <c r="X39" s="192">
        <f t="shared" si="4"/>
        <v>76.010425461620358</v>
      </c>
      <c r="Z39" s="193">
        <v>81.935318086707539</v>
      </c>
    </row>
    <row r="40" spans="1:26" x14ac:dyDescent="0.3">
      <c r="A40" s="180" t="s">
        <v>46</v>
      </c>
      <c r="B40" s="181">
        <v>37000</v>
      </c>
      <c r="C40" s="181">
        <v>130000</v>
      </c>
      <c r="D40" s="182">
        <v>151000</v>
      </c>
      <c r="E40" s="183">
        <f t="shared" si="2"/>
        <v>318000</v>
      </c>
      <c r="F40" s="194">
        <v>749000</v>
      </c>
      <c r="G40" s="181">
        <v>900000</v>
      </c>
      <c r="H40" s="194">
        <v>293000</v>
      </c>
      <c r="I40" s="181">
        <v>227000</v>
      </c>
      <c r="J40" s="182">
        <v>12000</v>
      </c>
      <c r="K40" s="183">
        <f t="shared" si="7"/>
        <v>2181000</v>
      </c>
      <c r="L40" s="195"/>
      <c r="M40" s="187">
        <f t="shared" si="0"/>
        <v>2499000</v>
      </c>
      <c r="N40" s="188">
        <v>2590000</v>
      </c>
      <c r="P40" s="188">
        <f t="shared" si="6"/>
        <v>91000</v>
      </c>
      <c r="Q40" s="186"/>
      <c r="R40" s="186"/>
      <c r="S40" s="189">
        <v>5660000</v>
      </c>
      <c r="T40" s="190">
        <v>27916000</v>
      </c>
      <c r="U40" s="181">
        <f t="shared" si="1"/>
        <v>2590000000</v>
      </c>
      <c r="V40" s="191">
        <f t="shared" si="5"/>
        <v>92.778335005015052</v>
      </c>
      <c r="W40" s="181">
        <f t="shared" si="3"/>
        <v>1813000000</v>
      </c>
      <c r="X40" s="192">
        <f t="shared" si="4"/>
        <v>64.944834503510535</v>
      </c>
      <c r="Z40" s="193">
        <v>80.097435162630745</v>
      </c>
    </row>
    <row r="41" spans="1:26" x14ac:dyDescent="0.3">
      <c r="A41" s="180" t="s">
        <v>47</v>
      </c>
      <c r="B41" s="181">
        <v>31000</v>
      </c>
      <c r="C41" s="181">
        <v>134000</v>
      </c>
      <c r="D41" s="182">
        <v>122000</v>
      </c>
      <c r="E41" s="183">
        <f t="shared" si="2"/>
        <v>287000</v>
      </c>
      <c r="F41" s="194">
        <v>709000</v>
      </c>
      <c r="G41" s="181">
        <v>832000</v>
      </c>
      <c r="H41" s="194">
        <v>284000</v>
      </c>
      <c r="I41" s="181">
        <v>219000</v>
      </c>
      <c r="J41" s="182">
        <v>14000</v>
      </c>
      <c r="K41" s="183">
        <f>SUM(F41:J41)</f>
        <v>2058000</v>
      </c>
      <c r="L41" s="195"/>
      <c r="M41" s="187">
        <f t="shared" si="0"/>
        <v>2345000</v>
      </c>
      <c r="N41" s="188">
        <v>2457000</v>
      </c>
      <c r="P41" s="188">
        <f t="shared" si="6"/>
        <v>112000</v>
      </c>
      <c r="Q41" s="186"/>
      <c r="R41" s="186"/>
      <c r="S41" s="189">
        <v>5236000</v>
      </c>
      <c r="T41" s="190">
        <v>28587000</v>
      </c>
      <c r="U41" s="181">
        <f t="shared" si="1"/>
        <v>2457000000</v>
      </c>
      <c r="V41" s="191">
        <f t="shared" si="5"/>
        <v>85.9481582537517</v>
      </c>
      <c r="W41" s="181">
        <f t="shared" si="3"/>
        <v>1719900000</v>
      </c>
      <c r="X41" s="192">
        <f t="shared" si="4"/>
        <v>60.163710777626193</v>
      </c>
      <c r="Z41" s="193">
        <v>82.030293490047924</v>
      </c>
    </row>
    <row r="42" spans="1:26" x14ac:dyDescent="0.3">
      <c r="A42" s="180" t="s">
        <v>48</v>
      </c>
      <c r="B42" s="181">
        <v>27000</v>
      </c>
      <c r="C42" s="181">
        <v>125000</v>
      </c>
      <c r="D42" s="182">
        <v>128000</v>
      </c>
      <c r="E42" s="183">
        <f>SUM(B42:D42)</f>
        <v>280000</v>
      </c>
      <c r="F42" s="194">
        <v>668000</v>
      </c>
      <c r="G42" s="181">
        <v>870000</v>
      </c>
      <c r="H42" s="194">
        <v>334000</v>
      </c>
      <c r="I42" s="181">
        <v>215000</v>
      </c>
      <c r="J42" s="182">
        <v>12000</v>
      </c>
      <c r="K42" s="183">
        <f>SUM(F42:J42)</f>
        <v>2099000</v>
      </c>
      <c r="L42" s="195"/>
      <c r="M42" s="187">
        <f>SUM(E42+K42)</f>
        <v>2379000</v>
      </c>
      <c r="N42" s="188">
        <v>2446000</v>
      </c>
      <c r="P42" s="188">
        <f t="shared" si="6"/>
        <v>67000</v>
      </c>
      <c r="Q42" s="186"/>
      <c r="R42" s="186"/>
      <c r="S42" s="189">
        <v>5647000</v>
      </c>
      <c r="T42" s="196">
        <v>29249000</v>
      </c>
      <c r="U42" s="181">
        <f t="shared" si="1"/>
        <v>2446000000</v>
      </c>
      <c r="V42" s="191">
        <f t="shared" si="5"/>
        <v>83.626790659509723</v>
      </c>
      <c r="W42" s="181">
        <f t="shared" si="3"/>
        <v>1712200000</v>
      </c>
      <c r="X42" s="192">
        <f t="shared" si="4"/>
        <v>58.53875346165681</v>
      </c>
      <c r="Z42" s="193">
        <v>89.371226366713387</v>
      </c>
    </row>
    <row r="43" spans="1:26" x14ac:dyDescent="0.3">
      <c r="A43" s="180" t="s">
        <v>49</v>
      </c>
      <c r="B43" s="181">
        <v>22000</v>
      </c>
      <c r="C43" s="181">
        <v>143000</v>
      </c>
      <c r="D43" s="182">
        <v>117000</v>
      </c>
      <c r="E43" s="183">
        <f t="shared" si="2"/>
        <v>282000</v>
      </c>
      <c r="F43" s="194">
        <v>568000</v>
      </c>
      <c r="G43" s="181">
        <v>861000</v>
      </c>
      <c r="H43" s="194">
        <v>348000</v>
      </c>
      <c r="I43" s="181">
        <v>193000</v>
      </c>
      <c r="J43" s="182">
        <v>17000</v>
      </c>
      <c r="K43" s="183">
        <f t="shared" si="7"/>
        <v>1987000</v>
      </c>
      <c r="L43" s="195"/>
      <c r="M43" s="187">
        <f t="shared" si="0"/>
        <v>2269000</v>
      </c>
      <c r="N43" s="188">
        <v>2376000</v>
      </c>
      <c r="P43" s="188">
        <f t="shared" si="6"/>
        <v>107000</v>
      </c>
      <c r="Q43" s="186"/>
      <c r="R43" s="186"/>
      <c r="S43" s="189">
        <v>5801000</v>
      </c>
      <c r="T43" s="196">
        <v>29908000</v>
      </c>
      <c r="U43" s="181">
        <f>N43*1000</f>
        <v>2376000000</v>
      </c>
      <c r="V43" s="191">
        <f t="shared" si="5"/>
        <v>79.443627123177748</v>
      </c>
      <c r="W43" s="181">
        <f t="shared" si="3"/>
        <v>1663200000</v>
      </c>
      <c r="X43" s="192">
        <f t="shared" si="4"/>
        <v>55.610538986224419</v>
      </c>
      <c r="Z43" s="193">
        <v>78.573023940082919</v>
      </c>
    </row>
    <row r="44" spans="1:26" x14ac:dyDescent="0.3">
      <c r="A44" s="180" t="s">
        <v>50</v>
      </c>
      <c r="B44" s="181">
        <v>21000</v>
      </c>
      <c r="C44" s="181">
        <v>155000</v>
      </c>
      <c r="D44" s="182">
        <v>116000</v>
      </c>
      <c r="E44" s="183">
        <f t="shared" si="2"/>
        <v>292000</v>
      </c>
      <c r="F44" s="194">
        <v>529000</v>
      </c>
      <c r="G44" s="181">
        <v>902000</v>
      </c>
      <c r="H44" s="194">
        <v>385000</v>
      </c>
      <c r="I44" s="181">
        <v>176000</v>
      </c>
      <c r="J44" s="182">
        <v>10000</v>
      </c>
      <c r="K44" s="183">
        <f t="shared" si="7"/>
        <v>2002000</v>
      </c>
      <c r="L44" s="195"/>
      <c r="M44" s="187">
        <f t="shared" si="0"/>
        <v>2294000</v>
      </c>
      <c r="N44" s="188">
        <v>2353000</v>
      </c>
      <c r="P44" s="188">
        <f t="shared" si="6"/>
        <v>59000</v>
      </c>
      <c r="Q44" s="186"/>
      <c r="R44" s="186"/>
      <c r="S44" s="189">
        <v>6425000</v>
      </c>
      <c r="T44" s="196">
        <v>30575000</v>
      </c>
      <c r="U44" s="181">
        <f t="shared" ref="U44:U71" si="8">N44*1000</f>
        <v>2353000000</v>
      </c>
      <c r="V44" s="191">
        <f t="shared" si="5"/>
        <v>76.958299264104667</v>
      </c>
      <c r="W44" s="181">
        <f t="shared" si="3"/>
        <v>1647100000</v>
      </c>
      <c r="X44" s="192">
        <f t="shared" si="4"/>
        <v>53.870809484873263</v>
      </c>
      <c r="Z44" s="193">
        <v>75.467833197056422</v>
      </c>
    </row>
    <row r="45" spans="1:26" x14ac:dyDescent="0.3">
      <c r="A45" s="180" t="s">
        <v>51</v>
      </c>
      <c r="B45" s="181">
        <v>22000</v>
      </c>
      <c r="C45" s="181">
        <v>164000</v>
      </c>
      <c r="D45" s="182">
        <v>120000</v>
      </c>
      <c r="E45" s="183">
        <f>SUM(B45:D45)</f>
        <v>306000</v>
      </c>
      <c r="F45" s="194">
        <v>507000</v>
      </c>
      <c r="G45" s="181">
        <v>930000</v>
      </c>
      <c r="H45" s="194">
        <v>415000</v>
      </c>
      <c r="I45" s="181">
        <v>178000</v>
      </c>
      <c r="J45" s="182">
        <v>23000</v>
      </c>
      <c r="K45" s="183">
        <f t="shared" si="7"/>
        <v>2053000</v>
      </c>
      <c r="L45" s="195"/>
      <c r="M45" s="187">
        <f t="shared" si="0"/>
        <v>2359000</v>
      </c>
      <c r="N45" s="188">
        <v>2534000</v>
      </c>
      <c r="P45" s="188">
        <f>N45-M45</f>
        <v>175000</v>
      </c>
      <c r="Q45" s="186"/>
      <c r="R45" s="186"/>
      <c r="S45" s="189">
        <v>6769000</v>
      </c>
      <c r="T45" s="196">
        <v>36199000</v>
      </c>
      <c r="U45" s="181">
        <f t="shared" si="8"/>
        <v>2534000000</v>
      </c>
      <c r="V45" s="191">
        <f t="shared" si="5"/>
        <v>70.001933755076109</v>
      </c>
      <c r="W45" s="181">
        <f t="shared" si="3"/>
        <v>1773800000</v>
      </c>
      <c r="X45" s="192">
        <f t="shared" si="4"/>
        <v>49.001353628553275</v>
      </c>
      <c r="Z45" s="193">
        <v>60.051299759661866</v>
      </c>
    </row>
    <row r="46" spans="1:26" x14ac:dyDescent="0.3">
      <c r="A46" s="180" t="s">
        <v>52</v>
      </c>
      <c r="B46" s="181">
        <v>20000</v>
      </c>
      <c r="C46" s="181">
        <v>184000</v>
      </c>
      <c r="D46" s="182">
        <v>122000</v>
      </c>
      <c r="E46" s="183">
        <f t="shared" si="2"/>
        <v>326000</v>
      </c>
      <c r="F46" s="194">
        <v>515000</v>
      </c>
      <c r="G46" s="181">
        <v>954000</v>
      </c>
      <c r="H46" s="194">
        <v>447000</v>
      </c>
      <c r="I46" s="181">
        <v>176000</v>
      </c>
      <c r="J46" s="182">
        <v>17000</v>
      </c>
      <c r="K46" s="183">
        <f t="shared" si="7"/>
        <v>2109000</v>
      </c>
      <c r="L46" s="195"/>
      <c r="M46" s="187">
        <f t="shared" si="0"/>
        <v>2435000</v>
      </c>
      <c r="N46" s="188">
        <v>2567000</v>
      </c>
      <c r="P46" s="188">
        <f t="shared" si="6"/>
        <v>132000</v>
      </c>
      <c r="Q46" s="186"/>
      <c r="R46" s="186"/>
      <c r="S46" s="189">
        <v>7022000</v>
      </c>
      <c r="T46" s="196">
        <v>36992000</v>
      </c>
      <c r="U46" s="181">
        <f t="shared" si="8"/>
        <v>2567000000</v>
      </c>
      <c r="V46" s="191">
        <f t="shared" si="5"/>
        <v>69.393382352941174</v>
      </c>
      <c r="W46" s="181">
        <f t="shared" si="3"/>
        <v>1796900000</v>
      </c>
      <c r="X46" s="192">
        <f t="shared" si="4"/>
        <v>48.575367647058826</v>
      </c>
      <c r="Z46" s="193">
        <v>57.928876513840834</v>
      </c>
    </row>
    <row r="47" spans="1:26" x14ac:dyDescent="0.3">
      <c r="A47" s="180" t="s">
        <v>53</v>
      </c>
      <c r="B47" s="181">
        <v>22000</v>
      </c>
      <c r="C47" s="181">
        <v>185000</v>
      </c>
      <c r="D47" s="182">
        <v>128000</v>
      </c>
      <c r="E47" s="183">
        <f t="shared" si="2"/>
        <v>335000</v>
      </c>
      <c r="F47" s="194">
        <v>592000</v>
      </c>
      <c r="G47" s="181">
        <v>963000</v>
      </c>
      <c r="H47" s="194">
        <v>415000</v>
      </c>
      <c r="I47" s="181">
        <v>200000</v>
      </c>
      <c r="J47" s="182">
        <v>13000</v>
      </c>
      <c r="K47" s="183">
        <f t="shared" si="7"/>
        <v>2183000</v>
      </c>
      <c r="L47" s="195"/>
      <c r="M47" s="187">
        <f t="shared" si="0"/>
        <v>2518000</v>
      </c>
      <c r="N47" s="188">
        <v>2743000</v>
      </c>
      <c r="P47" s="188">
        <f t="shared" si="6"/>
        <v>225000</v>
      </c>
      <c r="Q47" s="186"/>
      <c r="R47" s="186"/>
      <c r="S47" s="189">
        <v>6828000</v>
      </c>
      <c r="T47" s="196">
        <v>37802000</v>
      </c>
      <c r="U47" s="181">
        <f t="shared" si="8"/>
        <v>2743000000</v>
      </c>
      <c r="V47" s="191">
        <f t="shared" si="5"/>
        <v>72.562298291095715</v>
      </c>
      <c r="W47" s="181">
        <f t="shared" si="3"/>
        <v>1920100000</v>
      </c>
      <c r="X47" s="192">
        <f t="shared" si="4"/>
        <v>50.793608803766993</v>
      </c>
      <c r="Z47" s="193">
        <v>56.409131791968676</v>
      </c>
    </row>
    <row r="48" spans="1:26" x14ac:dyDescent="0.3">
      <c r="A48" s="180" t="s">
        <v>54</v>
      </c>
      <c r="B48" s="181">
        <v>24000</v>
      </c>
      <c r="C48" s="181">
        <v>176000</v>
      </c>
      <c r="D48" s="182">
        <v>127000</v>
      </c>
      <c r="E48" s="183">
        <f t="shared" si="2"/>
        <v>327000</v>
      </c>
      <c r="F48" s="194">
        <v>620000</v>
      </c>
      <c r="G48" s="181">
        <v>971000</v>
      </c>
      <c r="H48" s="194">
        <v>448000</v>
      </c>
      <c r="I48" s="181">
        <v>173000</v>
      </c>
      <c r="J48" s="182">
        <v>11000</v>
      </c>
      <c r="K48" s="183">
        <f t="shared" si="7"/>
        <v>2223000</v>
      </c>
      <c r="L48" s="195"/>
      <c r="M48" s="187">
        <f t="shared" si="0"/>
        <v>2550000</v>
      </c>
      <c r="N48" s="188">
        <v>2918000</v>
      </c>
      <c r="P48" s="188">
        <f t="shared" si="6"/>
        <v>368000</v>
      </c>
      <c r="Q48" s="186"/>
      <c r="R48" s="186"/>
      <c r="S48" s="189">
        <v>6773000</v>
      </c>
      <c r="T48" s="196">
        <v>38631000</v>
      </c>
      <c r="U48" s="181">
        <f t="shared" si="8"/>
        <v>2918000000</v>
      </c>
      <c r="V48" s="191">
        <f t="shared" si="5"/>
        <v>75.535191944293445</v>
      </c>
      <c r="W48" s="181">
        <f t="shared" si="3"/>
        <v>2042600000</v>
      </c>
      <c r="X48" s="192">
        <f t="shared" si="4"/>
        <v>52.874634361005413</v>
      </c>
      <c r="Z48" s="193">
        <v>58.478967668452796</v>
      </c>
    </row>
    <row r="49" spans="1:26" x14ac:dyDescent="0.3">
      <c r="A49" s="180" t="s">
        <v>55</v>
      </c>
      <c r="B49" s="181">
        <v>29000</v>
      </c>
      <c r="C49" s="181">
        <v>141000</v>
      </c>
      <c r="D49" s="182">
        <v>105000</v>
      </c>
      <c r="E49" s="183">
        <f t="shared" si="2"/>
        <v>275000</v>
      </c>
      <c r="F49" s="194">
        <v>592000</v>
      </c>
      <c r="G49" s="181">
        <v>945000</v>
      </c>
      <c r="H49" s="194">
        <v>493000</v>
      </c>
      <c r="I49" s="181">
        <v>112000</v>
      </c>
      <c r="J49" s="182">
        <v>11000</v>
      </c>
      <c r="K49" s="183">
        <f t="shared" si="7"/>
        <v>2153000</v>
      </c>
      <c r="L49" s="195"/>
      <c r="M49" s="187">
        <f t="shared" si="0"/>
        <v>2428000</v>
      </c>
      <c r="N49" s="188">
        <v>2540000</v>
      </c>
      <c r="P49" s="188">
        <f t="shared" si="6"/>
        <v>112000</v>
      </c>
      <c r="Q49" s="186"/>
      <c r="R49" s="186"/>
      <c r="S49" s="189">
        <v>6417000</v>
      </c>
      <c r="T49" s="196">
        <v>39477000</v>
      </c>
      <c r="U49" s="181">
        <f t="shared" si="8"/>
        <v>2540000000</v>
      </c>
      <c r="V49" s="191">
        <f t="shared" si="5"/>
        <v>64.341262000658617</v>
      </c>
      <c r="W49" s="181">
        <f t="shared" si="3"/>
        <v>1778000000</v>
      </c>
      <c r="X49" s="192">
        <f t="shared" si="4"/>
        <v>45.038883400461025</v>
      </c>
      <c r="Z49" s="193">
        <v>59.605745117410137</v>
      </c>
    </row>
    <row r="50" spans="1:26" x14ac:dyDescent="0.3">
      <c r="A50" s="180" t="s">
        <v>56</v>
      </c>
      <c r="B50" s="181">
        <v>20000</v>
      </c>
      <c r="C50" s="181">
        <v>141000</v>
      </c>
      <c r="D50" s="182">
        <v>115000</v>
      </c>
      <c r="E50" s="183">
        <f t="shared" si="2"/>
        <v>276000</v>
      </c>
      <c r="F50" s="194">
        <v>548000</v>
      </c>
      <c r="G50" s="181">
        <v>936000</v>
      </c>
      <c r="H50" s="194">
        <v>508000</v>
      </c>
      <c r="I50" s="181">
        <v>117000</v>
      </c>
      <c r="J50" s="182">
        <v>19000</v>
      </c>
      <c r="K50" s="183">
        <f t="shared" si="7"/>
        <v>2128000</v>
      </c>
      <c r="L50" s="195"/>
      <c r="M50" s="187">
        <f t="shared" si="0"/>
        <v>2404000</v>
      </c>
      <c r="N50" s="188">
        <v>2807000</v>
      </c>
      <c r="P50" s="188">
        <f t="shared" si="6"/>
        <v>403000</v>
      </c>
      <c r="Q50" s="186"/>
      <c r="R50" s="186"/>
      <c r="S50" s="189">
        <v>6842000</v>
      </c>
      <c r="T50" s="196">
        <v>40584000</v>
      </c>
      <c r="U50" s="181">
        <f t="shared" si="8"/>
        <v>2807000000</v>
      </c>
      <c r="V50" s="191">
        <f t="shared" si="5"/>
        <v>69.165188251527695</v>
      </c>
      <c r="W50" s="181">
        <f t="shared" si="3"/>
        <v>1964900000</v>
      </c>
      <c r="X50" s="192">
        <f t="shared" si="4"/>
        <v>48.41563177606939</v>
      </c>
      <c r="Z50" s="193">
        <v>59.596515868322491</v>
      </c>
    </row>
    <row r="51" spans="1:26" x14ac:dyDescent="0.3">
      <c r="A51" s="180" t="s">
        <v>57</v>
      </c>
      <c r="B51" s="181">
        <v>20000</v>
      </c>
      <c r="C51" s="181">
        <v>101000</v>
      </c>
      <c r="D51" s="182">
        <v>105000</v>
      </c>
      <c r="E51" s="183">
        <f t="shared" si="2"/>
        <v>226000</v>
      </c>
      <c r="F51" s="194">
        <v>461000</v>
      </c>
      <c r="G51" s="181">
        <v>968000</v>
      </c>
      <c r="H51" s="194">
        <v>623000</v>
      </c>
      <c r="I51" s="181">
        <v>77000</v>
      </c>
      <c r="J51" s="182">
        <v>20000</v>
      </c>
      <c r="K51" s="183">
        <f t="shared" si="7"/>
        <v>2149000</v>
      </c>
      <c r="L51" s="195"/>
      <c r="M51" s="187">
        <f t="shared" si="0"/>
        <v>2375000</v>
      </c>
      <c r="N51" s="188">
        <v>2912000</v>
      </c>
      <c r="P51" s="188">
        <f t="shared" si="6"/>
        <v>537000</v>
      </c>
      <c r="Q51" s="186"/>
      <c r="R51" s="186"/>
      <c r="S51" s="189">
        <v>6738000</v>
      </c>
      <c r="T51" s="196">
        <v>41227000</v>
      </c>
      <c r="U51" s="181">
        <f t="shared" si="8"/>
        <v>2912000000</v>
      </c>
      <c r="V51" s="191">
        <f t="shared" si="5"/>
        <v>70.633322822422201</v>
      </c>
      <c r="W51" s="181">
        <f t="shared" si="3"/>
        <v>2038400000</v>
      </c>
      <c r="X51" s="192">
        <f t="shared" si="4"/>
        <v>49.443325975695537</v>
      </c>
      <c r="Z51" s="193">
        <v>62.206806219225264</v>
      </c>
    </row>
    <row r="52" spans="1:26" x14ac:dyDescent="0.3">
      <c r="A52" s="180" t="s">
        <v>92</v>
      </c>
      <c r="B52" s="181"/>
      <c r="C52" s="181"/>
      <c r="D52" s="182"/>
      <c r="E52" s="183"/>
      <c r="F52" s="194"/>
      <c r="G52" s="181"/>
      <c r="H52" s="194"/>
      <c r="I52" s="181"/>
      <c r="J52" s="182"/>
      <c r="K52" s="183"/>
      <c r="L52" s="189"/>
      <c r="M52" s="187"/>
      <c r="N52" s="188">
        <v>3382000</v>
      </c>
      <c r="P52" s="197"/>
      <c r="Q52" s="186"/>
      <c r="R52" s="186"/>
      <c r="S52" s="189">
        <v>6383000</v>
      </c>
      <c r="T52" s="196">
        <v>42131000</v>
      </c>
      <c r="U52" s="181">
        <f t="shared" si="8"/>
        <v>3382000000</v>
      </c>
      <c r="V52" s="191">
        <f t="shared" si="5"/>
        <v>80.273432864161776</v>
      </c>
      <c r="W52" s="181">
        <f t="shared" si="3"/>
        <v>2367400000</v>
      </c>
      <c r="X52" s="192">
        <f t="shared" si="4"/>
        <v>56.191403004913248</v>
      </c>
      <c r="Z52" s="193">
        <v>51.767107355628873</v>
      </c>
    </row>
    <row r="53" spans="1:26" x14ac:dyDescent="0.3">
      <c r="A53" s="180" t="s">
        <v>93</v>
      </c>
      <c r="B53" s="181"/>
      <c r="C53" s="181"/>
      <c r="D53" s="182"/>
      <c r="E53" s="183"/>
      <c r="F53" s="194"/>
      <c r="G53" s="181"/>
      <c r="H53" s="194"/>
      <c r="I53" s="181"/>
      <c r="J53" s="182"/>
      <c r="K53" s="183"/>
      <c r="L53" s="189"/>
      <c r="M53" s="187"/>
      <c r="N53" s="188">
        <v>3381000</v>
      </c>
      <c r="P53" s="197"/>
      <c r="Q53" s="186"/>
      <c r="R53" s="186"/>
      <c r="S53" s="189">
        <v>6341000</v>
      </c>
      <c r="T53" s="196">
        <v>43054000</v>
      </c>
      <c r="U53" s="181">
        <f t="shared" si="8"/>
        <v>3381000000</v>
      </c>
      <c r="V53" s="191">
        <f t="shared" si="5"/>
        <v>78.529288800111487</v>
      </c>
      <c r="W53" s="181">
        <f t="shared" si="3"/>
        <v>2366700000</v>
      </c>
      <c r="X53" s="192">
        <f t="shared" si="4"/>
        <v>54.970502160078041</v>
      </c>
      <c r="Z53" s="193">
        <v>55.743949458819159</v>
      </c>
    </row>
    <row r="54" spans="1:26" x14ac:dyDescent="0.3">
      <c r="A54" s="180" t="s">
        <v>94</v>
      </c>
      <c r="B54" s="181"/>
      <c r="C54" s="181"/>
      <c r="D54" s="182"/>
      <c r="E54" s="183"/>
      <c r="F54" s="194"/>
      <c r="G54" s="181"/>
      <c r="H54" s="194"/>
      <c r="I54" s="181"/>
      <c r="J54" s="182"/>
      <c r="K54" s="183"/>
      <c r="L54" s="189"/>
      <c r="M54" s="187"/>
      <c r="N54" s="188">
        <v>3426000</v>
      </c>
      <c r="P54" s="197"/>
      <c r="Q54" s="186"/>
      <c r="R54" s="186"/>
      <c r="S54" s="189">
        <v>6362000</v>
      </c>
      <c r="T54" s="196">
        <v>43686000</v>
      </c>
      <c r="U54" s="181">
        <f t="shared" si="8"/>
        <v>3426000000</v>
      </c>
      <c r="V54" s="191">
        <f t="shared" si="5"/>
        <v>78.423293503639613</v>
      </c>
      <c r="W54" s="181">
        <f t="shared" si="3"/>
        <v>2398200000</v>
      </c>
      <c r="X54" s="192">
        <f t="shared" si="4"/>
        <v>54.896305452547729</v>
      </c>
      <c r="Z54" s="193">
        <v>54.273680355262556</v>
      </c>
    </row>
    <row r="55" spans="1:26" x14ac:dyDescent="0.3">
      <c r="A55" s="198" t="s">
        <v>95</v>
      </c>
      <c r="B55" s="181"/>
      <c r="C55" s="181"/>
      <c r="D55" s="182"/>
      <c r="E55" s="183"/>
      <c r="F55" s="194"/>
      <c r="G55" s="181"/>
      <c r="H55" s="194"/>
      <c r="I55" s="181"/>
      <c r="J55" s="182"/>
      <c r="K55" s="183"/>
      <c r="L55" s="189"/>
      <c r="M55" s="187"/>
      <c r="N55" s="188">
        <v>3589000</v>
      </c>
      <c r="P55" s="197"/>
      <c r="Q55" s="186"/>
      <c r="R55" s="186"/>
      <c r="S55" s="189">
        <v>6852000</v>
      </c>
      <c r="T55" s="196">
        <v>44561000</v>
      </c>
      <c r="U55" s="181">
        <f t="shared" si="8"/>
        <v>3589000000</v>
      </c>
      <c r="V55" s="191">
        <f t="shared" si="5"/>
        <v>80.541280491909973</v>
      </c>
      <c r="W55" s="181">
        <f t="shared" si="3"/>
        <v>2512300000</v>
      </c>
      <c r="X55" s="192">
        <f t="shared" si="4"/>
        <v>56.378896344336979</v>
      </c>
      <c r="Z55" s="193">
        <v>54.464666412333656</v>
      </c>
    </row>
    <row r="56" spans="1:26" x14ac:dyDescent="0.3">
      <c r="A56" s="199" t="s">
        <v>96</v>
      </c>
      <c r="B56" s="181"/>
      <c r="C56" s="181"/>
      <c r="D56" s="182"/>
      <c r="E56" s="183"/>
      <c r="F56" s="194"/>
      <c r="G56" s="181"/>
      <c r="H56" s="194"/>
      <c r="I56" s="181"/>
      <c r="J56" s="182"/>
      <c r="K56" s="183"/>
      <c r="L56" s="189"/>
      <c r="M56" s="187"/>
      <c r="N56" s="188">
        <v>3823000</v>
      </c>
      <c r="P56" s="197"/>
      <c r="Q56" s="186"/>
      <c r="R56" s="186"/>
      <c r="S56" s="189">
        <v>7151000</v>
      </c>
      <c r="T56" s="196">
        <v>45454000</v>
      </c>
      <c r="U56" s="181">
        <f t="shared" si="8"/>
        <v>3823000000</v>
      </c>
      <c r="V56" s="191">
        <f t="shared" si="5"/>
        <v>84.107009284111413</v>
      </c>
      <c r="W56" s="181">
        <f t="shared" si="3"/>
        <v>2676100000</v>
      </c>
      <c r="X56" s="192">
        <f t="shared" si="4"/>
        <v>58.874906498877984</v>
      </c>
      <c r="Z56" s="193">
        <v>55.902670832049985</v>
      </c>
    </row>
    <row r="57" spans="1:26" x14ac:dyDescent="0.3">
      <c r="A57" s="199" t="s">
        <v>97</v>
      </c>
      <c r="B57" s="181"/>
      <c r="C57" s="181"/>
      <c r="D57" s="182"/>
      <c r="E57" s="183"/>
      <c r="F57" s="194"/>
      <c r="G57" s="181"/>
      <c r="H57" s="194"/>
      <c r="I57" s="181"/>
      <c r="J57" s="182"/>
      <c r="K57" s="183"/>
      <c r="L57" s="189"/>
      <c r="M57" s="187"/>
      <c r="N57" s="188">
        <v>3738000</v>
      </c>
      <c r="P57" s="197"/>
      <c r="Q57" s="186"/>
      <c r="R57" s="186"/>
      <c r="S57" s="189">
        <v>6983000</v>
      </c>
      <c r="T57" s="196">
        <v>46429000</v>
      </c>
      <c r="U57" s="181">
        <f t="shared" si="8"/>
        <v>3738000000</v>
      </c>
      <c r="V57" s="191">
        <f t="shared" si="5"/>
        <v>80.510026061297893</v>
      </c>
      <c r="W57" s="181">
        <f t="shared" si="3"/>
        <v>2616600000</v>
      </c>
      <c r="X57" s="192">
        <f t="shared" si="4"/>
        <v>56.357018242908524</v>
      </c>
      <c r="Z57" s="193">
        <v>55.504103039048871</v>
      </c>
    </row>
    <row r="58" spans="1:26" x14ac:dyDescent="0.3">
      <c r="A58" s="198" t="s">
        <v>98</v>
      </c>
      <c r="B58" s="181"/>
      <c r="C58" s="181"/>
      <c r="D58" s="182"/>
      <c r="E58" s="183"/>
      <c r="F58" s="194"/>
      <c r="G58" s="181"/>
      <c r="H58" s="194"/>
      <c r="I58" s="181"/>
      <c r="J58" s="182"/>
      <c r="K58" s="183"/>
      <c r="L58" s="189"/>
      <c r="M58" s="187"/>
      <c r="N58" s="188">
        <v>3784000</v>
      </c>
      <c r="P58" s="197"/>
      <c r="Q58" s="186"/>
      <c r="R58" s="186"/>
      <c r="S58" s="189">
        <v>7243000</v>
      </c>
      <c r="T58" s="196">
        <v>46586000</v>
      </c>
      <c r="U58" s="181">
        <f t="shared" si="8"/>
        <v>3784000000</v>
      </c>
      <c r="V58" s="191">
        <f t="shared" si="5"/>
        <v>81.226119435023392</v>
      </c>
      <c r="W58" s="181">
        <f t="shared" si="3"/>
        <v>2648800000</v>
      </c>
      <c r="X58" s="192">
        <f t="shared" si="4"/>
        <v>56.85828360451638</v>
      </c>
      <c r="Z58" s="193">
        <v>56.948439445326919</v>
      </c>
    </row>
    <row r="59" spans="1:26" x14ac:dyDescent="0.3">
      <c r="A59" s="198" t="s">
        <v>99</v>
      </c>
      <c r="B59" s="181"/>
      <c r="C59" s="181"/>
      <c r="D59" s="182"/>
      <c r="E59" s="183"/>
      <c r="F59" s="194"/>
      <c r="G59" s="181"/>
      <c r="H59" s="194"/>
      <c r="I59" s="181"/>
      <c r="J59" s="182"/>
      <c r="K59" s="183"/>
      <c r="L59" s="189"/>
      <c r="M59" s="187"/>
      <c r="N59" s="188">
        <v>3630000</v>
      </c>
      <c r="P59" s="197"/>
      <c r="Q59" s="186"/>
      <c r="R59" s="186"/>
      <c r="S59" s="189">
        <v>7283000</v>
      </c>
      <c r="T59" s="196">
        <v>46888000</v>
      </c>
      <c r="U59" s="181">
        <f t="shared" si="8"/>
        <v>3630000000</v>
      </c>
      <c r="V59" s="191">
        <f t="shared" si="5"/>
        <v>77.418529261218225</v>
      </c>
      <c r="W59" s="181">
        <f t="shared" si="3"/>
        <v>2541000000</v>
      </c>
      <c r="X59" s="192">
        <f t="shared" si="4"/>
        <v>54.192970482852758</v>
      </c>
      <c r="Z59" s="193">
        <v>58.351817096058696</v>
      </c>
    </row>
    <row r="60" spans="1:26" x14ac:dyDescent="0.3">
      <c r="A60" s="199" t="s">
        <v>100</v>
      </c>
      <c r="B60" s="181"/>
      <c r="C60" s="181"/>
      <c r="D60" s="182"/>
      <c r="E60" s="183"/>
      <c r="F60" s="194"/>
      <c r="G60" s="181"/>
      <c r="H60" s="194"/>
      <c r="I60" s="181"/>
      <c r="J60" s="182"/>
      <c r="K60" s="183"/>
      <c r="L60" s="189"/>
      <c r="M60" s="187"/>
      <c r="N60" s="188">
        <v>3851000</v>
      </c>
      <c r="P60" s="197"/>
      <c r="Q60" s="186"/>
      <c r="R60" s="186"/>
      <c r="S60" s="189">
        <v>7462000</v>
      </c>
      <c r="T60" s="196">
        <v>47391000</v>
      </c>
      <c r="U60" s="181">
        <f t="shared" si="8"/>
        <v>3851000000</v>
      </c>
      <c r="V60" s="191">
        <f t="shared" si="5"/>
        <v>81.260154881728596</v>
      </c>
      <c r="W60" s="181">
        <f t="shared" si="3"/>
        <v>2695700000</v>
      </c>
      <c r="X60" s="192">
        <f t="shared" si="4"/>
        <v>56.88210841721002</v>
      </c>
      <c r="Z60" s="193">
        <v>58.935240868519337</v>
      </c>
    </row>
    <row r="61" spans="1:26" x14ac:dyDescent="0.3">
      <c r="A61" s="199" t="s">
        <v>101</v>
      </c>
      <c r="B61" s="181"/>
      <c r="C61" s="181"/>
      <c r="D61" s="182"/>
      <c r="E61" s="183"/>
      <c r="F61" s="194"/>
      <c r="G61" s="181"/>
      <c r="H61" s="194"/>
      <c r="I61" s="181"/>
      <c r="J61" s="182"/>
      <c r="K61" s="183"/>
      <c r="L61" s="189"/>
      <c r="M61" s="187"/>
      <c r="N61" s="188">
        <v>3813000</v>
      </c>
      <c r="P61" s="197"/>
      <c r="Q61" s="186"/>
      <c r="R61" s="186"/>
      <c r="S61" s="189">
        <v>7660000</v>
      </c>
      <c r="T61" s="196">
        <v>47851000</v>
      </c>
      <c r="U61" s="181">
        <f t="shared" si="8"/>
        <v>3813000000</v>
      </c>
      <c r="V61" s="191">
        <f t="shared" si="5"/>
        <v>79.684855070949411</v>
      </c>
      <c r="W61" s="181">
        <f t="shared" si="3"/>
        <v>2669100000</v>
      </c>
      <c r="X61" s="192">
        <f t="shared" si="4"/>
        <v>55.779398549664585</v>
      </c>
      <c r="Z61" s="193">
        <v>58.93293766065495</v>
      </c>
    </row>
    <row r="62" spans="1:26" x14ac:dyDescent="0.3">
      <c r="A62" s="199" t="s">
        <v>102</v>
      </c>
      <c r="B62" s="181"/>
      <c r="C62" s="181"/>
      <c r="D62" s="182"/>
      <c r="E62" s="183"/>
      <c r="F62" s="194"/>
      <c r="G62" s="181"/>
      <c r="H62" s="194"/>
      <c r="I62" s="181"/>
      <c r="J62" s="182"/>
      <c r="K62" s="183"/>
      <c r="L62" s="189"/>
      <c r="M62" s="187"/>
      <c r="N62" s="188">
        <v>3823000</v>
      </c>
      <c r="P62" s="197"/>
      <c r="Q62" s="186"/>
      <c r="R62" s="186"/>
      <c r="S62" s="189">
        <v>8029000</v>
      </c>
      <c r="T62" s="196">
        <v>48687000</v>
      </c>
      <c r="U62" s="181">
        <f t="shared" si="8"/>
        <v>3823000000</v>
      </c>
      <c r="V62" s="191">
        <f t="shared" si="5"/>
        <v>78.521987388830695</v>
      </c>
      <c r="W62" s="181">
        <f t="shared" si="3"/>
        <v>2676100000</v>
      </c>
      <c r="X62" s="192">
        <f t="shared" si="4"/>
        <v>54.965391172181484</v>
      </c>
      <c r="Z62" s="193">
        <v>58.434489699509108</v>
      </c>
    </row>
    <row r="63" spans="1:26" x14ac:dyDescent="0.3">
      <c r="A63" s="199" t="s">
        <v>103</v>
      </c>
      <c r="B63" s="181"/>
      <c r="C63" s="181"/>
      <c r="D63" s="182"/>
      <c r="E63" s="183"/>
      <c r="F63" s="194"/>
      <c r="G63" s="181"/>
      <c r="H63" s="194"/>
      <c r="I63" s="181"/>
      <c r="J63" s="182"/>
      <c r="K63" s="183"/>
      <c r="L63" s="189"/>
      <c r="M63" s="187"/>
      <c r="N63" s="188">
        <v>4375000</v>
      </c>
      <c r="P63" s="197"/>
      <c r="Q63" s="186"/>
      <c r="R63" s="186"/>
      <c r="S63" s="189">
        <v>8613000</v>
      </c>
      <c r="T63" s="196">
        <v>49321000</v>
      </c>
      <c r="U63" s="181">
        <f t="shared" si="8"/>
        <v>4375000000</v>
      </c>
      <c r="V63" s="191">
        <f t="shared" si="5"/>
        <v>88.70460858457858</v>
      </c>
      <c r="W63" s="181">
        <f t="shared" si="3"/>
        <v>3062500000</v>
      </c>
      <c r="X63" s="192">
        <f t="shared" si="4"/>
        <v>62.093226009205004</v>
      </c>
      <c r="Z63" s="193">
        <v>57.926643823117942</v>
      </c>
    </row>
    <row r="64" spans="1:26" x14ac:dyDescent="0.3">
      <c r="A64" s="199" t="s">
        <v>104</v>
      </c>
      <c r="B64" s="181"/>
      <c r="C64" s="181"/>
      <c r="D64" s="182"/>
      <c r="E64" s="183"/>
      <c r="F64" s="194"/>
      <c r="G64" s="181"/>
      <c r="H64" s="194"/>
      <c r="I64" s="181"/>
      <c r="J64" s="182"/>
      <c r="K64" s="183"/>
      <c r="L64" s="189"/>
      <c r="M64" s="187"/>
      <c r="N64" s="188">
        <v>4487000</v>
      </c>
      <c r="P64" s="197"/>
      <c r="Q64" s="186"/>
      <c r="R64" s="186"/>
      <c r="S64" s="189">
        <v>8658000</v>
      </c>
      <c r="T64" s="196">
        <v>49991000</v>
      </c>
      <c r="U64" s="181">
        <f t="shared" si="8"/>
        <v>4487000000</v>
      </c>
      <c r="V64" s="191">
        <f t="shared" si="5"/>
        <v>89.756156108099461</v>
      </c>
      <c r="W64" s="181">
        <f t="shared" si="3"/>
        <v>3140900000</v>
      </c>
      <c r="X64" s="192">
        <f t="shared" si="4"/>
        <v>62.829309275669623</v>
      </c>
      <c r="Z64" s="193">
        <v>60.350863155367968</v>
      </c>
    </row>
    <row r="65" spans="1:26" x14ac:dyDescent="0.3">
      <c r="A65" s="199" t="s">
        <v>105</v>
      </c>
      <c r="B65" s="181"/>
      <c r="C65" s="181"/>
      <c r="D65" s="182"/>
      <c r="E65" s="183"/>
      <c r="F65" s="194"/>
      <c r="G65" s="181"/>
      <c r="H65" s="194"/>
      <c r="I65" s="181"/>
      <c r="J65" s="182"/>
      <c r="K65" s="183"/>
      <c r="L65" s="189"/>
      <c r="M65" s="187"/>
      <c r="N65" s="188">
        <v>4536000</v>
      </c>
      <c r="P65" s="197"/>
      <c r="Q65" s="186"/>
      <c r="R65" s="186"/>
      <c r="S65" s="189">
        <v>8857000</v>
      </c>
      <c r="T65" s="196">
        <v>50587000</v>
      </c>
      <c r="U65" s="181">
        <f t="shared" si="8"/>
        <v>4536000000</v>
      </c>
      <c r="V65" s="191">
        <f t="shared" si="5"/>
        <v>89.667305829560959</v>
      </c>
      <c r="W65" s="181">
        <f t="shared" si="3"/>
        <v>3175200000</v>
      </c>
      <c r="X65" s="192">
        <f t="shared" si="4"/>
        <v>62.767114080692672</v>
      </c>
      <c r="Z65" s="193">
        <v>58.216537845691583</v>
      </c>
    </row>
    <row r="66" spans="1:26" x14ac:dyDescent="0.3">
      <c r="A66" s="199" t="s">
        <v>106</v>
      </c>
      <c r="B66" s="181"/>
      <c r="C66" s="181"/>
      <c r="D66" s="182"/>
      <c r="E66" s="183"/>
      <c r="F66" s="194"/>
      <c r="G66" s="181"/>
      <c r="H66" s="194"/>
      <c r="I66" s="181"/>
      <c r="J66" s="182"/>
      <c r="K66" s="183"/>
      <c r="L66" s="189"/>
      <c r="M66" s="187"/>
      <c r="N66" s="188">
        <v>4537000</v>
      </c>
      <c r="P66" s="197"/>
      <c r="Q66" s="186"/>
      <c r="R66" s="186"/>
      <c r="S66" s="189">
        <v>8941000</v>
      </c>
      <c r="T66" s="190">
        <v>51771000</v>
      </c>
      <c r="U66" s="181">
        <f t="shared" si="8"/>
        <v>4537000000</v>
      </c>
      <c r="V66" s="191">
        <f t="shared" si="5"/>
        <v>87.635935176063825</v>
      </c>
      <c r="W66" s="181">
        <f t="shared" si="3"/>
        <v>3175900000</v>
      </c>
      <c r="X66" s="192">
        <f t="shared" si="4"/>
        <v>61.345154623244674</v>
      </c>
      <c r="Z66" s="193">
        <v>61.849297869463598</v>
      </c>
    </row>
    <row r="67" spans="1:26" x14ac:dyDescent="0.3">
      <c r="A67" s="199" t="s">
        <v>107</v>
      </c>
      <c r="B67" s="181"/>
      <c r="C67" s="181"/>
      <c r="D67" s="182"/>
      <c r="E67" s="183"/>
      <c r="F67" s="194"/>
      <c r="G67" s="181"/>
      <c r="H67" s="194"/>
      <c r="I67" s="181"/>
      <c r="J67" s="182"/>
      <c r="K67" s="183"/>
      <c r="L67" s="189"/>
      <c r="M67" s="187"/>
      <c r="N67" s="188">
        <v>4446000</v>
      </c>
      <c r="P67" s="197"/>
      <c r="Q67" s="186"/>
      <c r="R67" s="186"/>
      <c r="S67" s="189">
        <v>8935000</v>
      </c>
      <c r="T67" s="196">
        <v>52982000</v>
      </c>
      <c r="U67" s="181">
        <f t="shared" si="8"/>
        <v>4446000000</v>
      </c>
      <c r="V67" s="191">
        <f t="shared" si="5"/>
        <v>83.915291985957495</v>
      </c>
      <c r="W67" s="181">
        <f t="shared" si="3"/>
        <v>3112200000</v>
      </c>
      <c r="X67" s="192">
        <f t="shared" si="4"/>
        <v>58.740704390170244</v>
      </c>
      <c r="Z67" s="193">
        <v>57.379600619078175</v>
      </c>
    </row>
    <row r="68" spans="1:26" x14ac:dyDescent="0.3">
      <c r="A68" s="199" t="s">
        <v>108</v>
      </c>
      <c r="B68" s="181"/>
      <c r="C68" s="181"/>
      <c r="D68" s="182"/>
      <c r="E68" s="183"/>
      <c r="F68" s="194"/>
      <c r="G68" s="181"/>
      <c r="H68" s="194"/>
      <c r="I68" s="181"/>
      <c r="J68" s="182"/>
      <c r="K68" s="183"/>
      <c r="L68" s="189"/>
      <c r="M68" s="187"/>
      <c r="N68" s="188">
        <v>4658965</v>
      </c>
      <c r="P68" s="197"/>
      <c r="Q68" s="186"/>
      <c r="R68" s="186"/>
      <c r="S68" s="189">
        <v>9348670</v>
      </c>
      <c r="T68" s="196">
        <v>54002000</v>
      </c>
      <c r="U68" s="181">
        <f t="shared" si="8"/>
        <v>4658965000</v>
      </c>
      <c r="V68" s="191">
        <f t="shared" ref="V68:V77" si="9">U68/T68</f>
        <v>86.273934298729671</v>
      </c>
      <c r="W68" s="181">
        <f t="shared" si="3"/>
        <v>3261275500</v>
      </c>
      <c r="X68" s="192">
        <f t="shared" si="4"/>
        <v>60.391754009110777</v>
      </c>
      <c r="Z68" s="193">
        <v>58.80956260879227</v>
      </c>
    </row>
    <row r="69" spans="1:26" x14ac:dyDescent="0.3">
      <c r="A69" s="199" t="s">
        <v>109</v>
      </c>
      <c r="B69" s="181"/>
      <c r="C69" s="181"/>
      <c r="D69" s="182"/>
      <c r="E69" s="183"/>
      <c r="F69" s="194"/>
      <c r="G69" s="181"/>
      <c r="H69" s="194"/>
      <c r="I69" s="181"/>
      <c r="J69" s="182"/>
      <c r="K69" s="183"/>
      <c r="L69" s="189"/>
      <c r="M69" s="187"/>
      <c r="N69" s="188">
        <v>4717686</v>
      </c>
      <c r="P69" s="197"/>
      <c r="Q69" s="186"/>
      <c r="R69" s="186"/>
      <c r="S69" s="189">
        <v>9926519</v>
      </c>
      <c r="T69" s="196">
        <v>54957000</v>
      </c>
      <c r="U69" s="181">
        <f t="shared" si="8"/>
        <v>4717686000</v>
      </c>
      <c r="V69" s="191">
        <f t="shared" si="9"/>
        <v>85.843222883345163</v>
      </c>
      <c r="W69" s="181">
        <f t="shared" ref="W69:W71" si="10">U69-(U69*0.3)</f>
        <v>3302380200</v>
      </c>
      <c r="X69" s="192">
        <f t="shared" ref="X69:X71" si="11">W69/T69</f>
        <v>60.090256018341613</v>
      </c>
      <c r="Z69" s="193">
        <v>56.639154247866514</v>
      </c>
    </row>
    <row r="70" spans="1:26" x14ac:dyDescent="0.3">
      <c r="A70" s="199" t="s">
        <v>110</v>
      </c>
      <c r="B70" s="181"/>
      <c r="C70" s="181"/>
      <c r="D70" s="182"/>
      <c r="E70" s="183"/>
      <c r="F70" s="194"/>
      <c r="G70" s="181"/>
      <c r="H70" s="194"/>
      <c r="I70" s="181"/>
      <c r="J70" s="182"/>
      <c r="K70" s="183"/>
      <c r="L70" s="189"/>
      <c r="M70" s="187"/>
      <c r="N70" s="188">
        <v>4763118</v>
      </c>
      <c r="P70" s="197"/>
      <c r="Q70" s="186"/>
      <c r="R70" s="186"/>
      <c r="S70" s="189">
        <v>10248994</v>
      </c>
      <c r="T70" s="190">
        <v>55909000</v>
      </c>
      <c r="U70" s="181">
        <f t="shared" si="8"/>
        <v>4763118000</v>
      </c>
      <c r="V70" s="191">
        <f t="shared" si="9"/>
        <v>85.194119014827663</v>
      </c>
      <c r="W70" s="181">
        <f t="shared" si="10"/>
        <v>3334182600</v>
      </c>
      <c r="X70" s="192">
        <f t="shared" si="11"/>
        <v>59.63588331037937</v>
      </c>
      <c r="Z70" s="193">
        <v>56.241642669337672</v>
      </c>
    </row>
    <row r="71" spans="1:26" x14ac:dyDescent="0.3">
      <c r="A71" s="180" t="s">
        <v>68</v>
      </c>
      <c r="B71" s="181">
        <v>8894</v>
      </c>
      <c r="C71" s="181">
        <v>47392</v>
      </c>
      <c r="D71" s="181">
        <v>107965</v>
      </c>
      <c r="E71" s="183">
        <v>164251</v>
      </c>
      <c r="F71" s="181">
        <v>28005</v>
      </c>
      <c r="G71" s="181">
        <v>401344</v>
      </c>
      <c r="H71" s="181">
        <v>2275099</v>
      </c>
      <c r="I71" s="181">
        <v>12290</v>
      </c>
      <c r="J71" s="200"/>
      <c r="K71" s="183">
        <v>2807213</v>
      </c>
      <c r="L71" s="201">
        <v>90475</v>
      </c>
      <c r="M71" s="202">
        <f t="shared" ref="M71:M77" si="12">E71+K71+L71</f>
        <v>3061939</v>
      </c>
      <c r="N71" s="188">
        <v>4723639</v>
      </c>
      <c r="P71" s="197">
        <f>N70-M71</f>
        <v>1701179</v>
      </c>
      <c r="Q71" s="186"/>
      <c r="R71" s="186"/>
      <c r="S71" s="189">
        <v>9838709</v>
      </c>
      <c r="T71" s="190">
        <v>56522000</v>
      </c>
      <c r="U71" s="181">
        <f t="shared" si="8"/>
        <v>4723639000</v>
      </c>
      <c r="V71" s="203">
        <f t="shared" si="9"/>
        <v>83.571688899897381</v>
      </c>
      <c r="W71" s="181">
        <f t="shared" si="10"/>
        <v>3306547300</v>
      </c>
      <c r="X71" s="192">
        <f t="shared" si="11"/>
        <v>58.500182229928171</v>
      </c>
      <c r="Z71" s="193">
        <v>55.963978627790951</v>
      </c>
    </row>
    <row r="72" spans="1:26" x14ac:dyDescent="0.3">
      <c r="A72" s="180" t="s">
        <v>69</v>
      </c>
      <c r="B72" s="181">
        <v>8727</v>
      </c>
      <c r="C72" s="181">
        <v>60423</v>
      </c>
      <c r="D72" s="181">
        <v>112676</v>
      </c>
      <c r="E72" s="183">
        <v>181826</v>
      </c>
      <c r="F72" s="181">
        <v>37556</v>
      </c>
      <c r="G72" s="181">
        <v>357886</v>
      </c>
      <c r="H72" s="181">
        <v>2388000</v>
      </c>
      <c r="I72" s="181">
        <v>10376</v>
      </c>
      <c r="J72" s="200"/>
      <c r="K72" s="183">
        <v>2869565</v>
      </c>
      <c r="L72" s="201">
        <v>113303</v>
      </c>
      <c r="M72" s="202">
        <f t="shared" si="12"/>
        <v>3164694</v>
      </c>
      <c r="N72" s="188">
        <v>4993476</v>
      </c>
      <c r="P72" s="197">
        <f>N71-M72</f>
        <v>1558945</v>
      </c>
      <c r="Q72" s="186"/>
      <c r="R72" s="186"/>
      <c r="S72" s="189">
        <v>10299680</v>
      </c>
      <c r="T72" s="196">
        <v>57726000</v>
      </c>
      <c r="U72" s="181">
        <f t="shared" ref="U72" si="13">N72*1000</f>
        <v>4993476000</v>
      </c>
      <c r="V72" s="191">
        <f t="shared" si="9"/>
        <v>86.503066209333753</v>
      </c>
      <c r="W72" s="181">
        <f t="shared" ref="W72:W76" si="14">U72-(U72*0.3)</f>
        <v>3495433200</v>
      </c>
      <c r="X72" s="192">
        <f t="shared" ref="X72:X77" si="15">W72/T72</f>
        <v>60.552146346533625</v>
      </c>
      <c r="Z72" s="193">
        <v>55.895939438034851</v>
      </c>
    </row>
    <row r="73" spans="1:26" x14ac:dyDescent="0.3">
      <c r="A73" s="180" t="s">
        <v>138</v>
      </c>
      <c r="B73" s="181">
        <v>8228</v>
      </c>
      <c r="C73" s="181">
        <v>62964</v>
      </c>
      <c r="D73" s="181">
        <v>118545</v>
      </c>
      <c r="E73" s="183">
        <f>SUM(B73:D73)</f>
        <v>189737</v>
      </c>
      <c r="F73" s="181">
        <v>28439</v>
      </c>
      <c r="G73" s="181">
        <v>371301</v>
      </c>
      <c r="H73" s="181">
        <v>2495637</v>
      </c>
      <c r="I73" s="181">
        <v>8568</v>
      </c>
      <c r="J73" s="200"/>
      <c r="K73" s="183">
        <f>SUM(F73:J73)</f>
        <v>2903945</v>
      </c>
      <c r="L73" s="201">
        <v>109299</v>
      </c>
      <c r="M73" s="202">
        <f t="shared" si="12"/>
        <v>3202981</v>
      </c>
      <c r="N73" s="188">
        <v>5160772</v>
      </c>
      <c r="P73" s="197">
        <f>N72-M73</f>
        <v>1790495</v>
      </c>
      <c r="Q73" s="186"/>
      <c r="R73" s="186"/>
      <c r="S73" s="189">
        <v>10299680</v>
      </c>
      <c r="T73" s="196">
        <v>58775000</v>
      </c>
      <c r="U73" s="181">
        <f>N73*1000</f>
        <v>5160772000</v>
      </c>
      <c r="V73" s="191">
        <f t="shared" si="9"/>
        <v>87.805563589961722</v>
      </c>
      <c r="W73" s="181">
        <f t="shared" si="14"/>
        <v>3612540400</v>
      </c>
      <c r="X73" s="192">
        <f t="shared" si="15"/>
        <v>61.463894512973205</v>
      </c>
      <c r="Z73" s="193">
        <v>55.319608677158655</v>
      </c>
    </row>
    <row r="74" spans="1:26" x14ac:dyDescent="0.3">
      <c r="A74" s="180" t="s">
        <v>142</v>
      </c>
      <c r="B74" s="181">
        <v>8476</v>
      </c>
      <c r="C74" s="181">
        <v>68251</v>
      </c>
      <c r="D74" s="181">
        <v>117573</v>
      </c>
      <c r="E74" s="183">
        <f>SUM(B74:D74)</f>
        <v>194300</v>
      </c>
      <c r="F74" s="181">
        <v>22100</v>
      </c>
      <c r="G74" s="181">
        <v>371313</v>
      </c>
      <c r="H74" s="181">
        <v>2725436</v>
      </c>
      <c r="I74" s="181">
        <v>12540</v>
      </c>
      <c r="J74" s="200"/>
      <c r="K74" s="183">
        <f>SUM(F74:I74)</f>
        <v>3131389</v>
      </c>
      <c r="L74" s="201">
        <v>123704</v>
      </c>
      <c r="M74" s="202">
        <f t="shared" si="12"/>
        <v>3449393</v>
      </c>
      <c r="N74" s="204">
        <v>5387572</v>
      </c>
      <c r="O74" s="205"/>
      <c r="P74" s="206">
        <f>N72-M74</f>
        <v>1544083</v>
      </c>
      <c r="Q74" s="207"/>
      <c r="R74" s="207"/>
      <c r="S74" s="208">
        <v>10299680</v>
      </c>
      <c r="T74" s="209">
        <v>59622000</v>
      </c>
      <c r="U74" s="181">
        <f>N74*1000</f>
        <v>5387572000</v>
      </c>
      <c r="V74" s="191">
        <f t="shared" ref="V74:V76" si="16">U74/T74</f>
        <v>90.362148200328733</v>
      </c>
      <c r="W74" s="181">
        <f t="shared" si="14"/>
        <v>3771300400</v>
      </c>
      <c r="X74" s="192">
        <f t="shared" ref="X74:X76" si="17">W74/T74</f>
        <v>63.253503740230116</v>
      </c>
      <c r="Z74" s="193">
        <v>57.270839622957972</v>
      </c>
    </row>
    <row r="75" spans="1:26" x14ac:dyDescent="0.3">
      <c r="A75" s="180" t="s">
        <v>144</v>
      </c>
      <c r="B75" s="181">
        <v>7264</v>
      </c>
      <c r="C75" s="181">
        <v>69446</v>
      </c>
      <c r="D75" s="181">
        <v>110572</v>
      </c>
      <c r="E75" s="183">
        <f>SUM(B75:D75)</f>
        <v>187282</v>
      </c>
      <c r="F75" s="181">
        <v>21881</v>
      </c>
      <c r="G75" s="181">
        <v>295406</v>
      </c>
      <c r="H75" s="181">
        <v>2862883</v>
      </c>
      <c r="I75" s="181">
        <v>9987</v>
      </c>
      <c r="J75" s="200"/>
      <c r="K75" s="183">
        <f>SUM(F75:I75)</f>
        <v>3190157</v>
      </c>
      <c r="L75" s="201">
        <v>114903</v>
      </c>
      <c r="M75" s="202">
        <f t="shared" si="12"/>
        <v>3492342</v>
      </c>
      <c r="N75" s="204">
        <v>5657836</v>
      </c>
      <c r="O75" s="205"/>
      <c r="P75" s="206">
        <f>N72-M75</f>
        <v>1501134</v>
      </c>
      <c r="Q75" s="207"/>
      <c r="R75" s="207"/>
      <c r="S75" s="208">
        <v>10299680</v>
      </c>
      <c r="T75" s="196">
        <v>60143000</v>
      </c>
      <c r="U75" s="181">
        <f t="shared" ref="U75:U76" si="18">N75*1000</f>
        <v>5657836000</v>
      </c>
      <c r="V75" s="191">
        <f t="shared" si="16"/>
        <v>94.073059208885496</v>
      </c>
      <c r="W75" s="181">
        <f t="shared" si="14"/>
        <v>3960485200</v>
      </c>
      <c r="X75" s="192">
        <f t="shared" si="17"/>
        <v>65.851141446219842</v>
      </c>
      <c r="Z75" s="193">
        <v>55.661955672314321</v>
      </c>
    </row>
    <row r="76" spans="1:26" x14ac:dyDescent="0.3">
      <c r="A76" s="180" t="s">
        <v>145</v>
      </c>
      <c r="B76" s="181">
        <v>7044</v>
      </c>
      <c r="C76" s="181">
        <v>78688</v>
      </c>
      <c r="D76" s="181">
        <v>107682</v>
      </c>
      <c r="E76" s="183">
        <f>SUM(B76:D76)</f>
        <v>193414</v>
      </c>
      <c r="F76" s="181">
        <v>22311</v>
      </c>
      <c r="G76" s="181">
        <v>242736</v>
      </c>
      <c r="H76" s="181">
        <v>2693285</v>
      </c>
      <c r="I76" s="181">
        <v>6580</v>
      </c>
      <c r="J76" s="200"/>
      <c r="K76" s="183">
        <f>SUM(F76:I76)</f>
        <v>2964912</v>
      </c>
      <c r="L76" s="201">
        <v>126163</v>
      </c>
      <c r="M76" s="202">
        <f t="shared" ref="M76" si="19">E76+K76+L76</f>
        <v>3284489</v>
      </c>
      <c r="N76" s="210">
        <v>5171981</v>
      </c>
      <c r="O76" s="205"/>
      <c r="P76" s="206">
        <f>N72-M76</f>
        <v>1708987</v>
      </c>
      <c r="Q76" s="207"/>
      <c r="R76" s="207"/>
      <c r="S76" s="208">
        <v>10299680</v>
      </c>
      <c r="T76" s="196">
        <v>60143000</v>
      </c>
      <c r="U76" s="211">
        <f t="shared" si="18"/>
        <v>5171981000</v>
      </c>
      <c r="V76" s="191">
        <f t="shared" si="16"/>
        <v>85.994729228671659</v>
      </c>
      <c r="W76" s="181">
        <f t="shared" si="14"/>
        <v>3620386700</v>
      </c>
      <c r="X76" s="192">
        <f t="shared" si="17"/>
        <v>60.196310460070166</v>
      </c>
      <c r="Z76" s="193">
        <v>55.946477561811015</v>
      </c>
    </row>
    <row r="77" spans="1:26" ht="15" thickBot="1" x14ac:dyDescent="0.35">
      <c r="A77" s="212" t="s">
        <v>146</v>
      </c>
      <c r="B77" s="213">
        <v>5898</v>
      </c>
      <c r="C77" s="213">
        <v>69214</v>
      </c>
      <c r="D77" s="213">
        <v>94286</v>
      </c>
      <c r="E77" s="214">
        <f>SUM(B77:D77)</f>
        <v>169398</v>
      </c>
      <c r="F77" s="213">
        <v>23226</v>
      </c>
      <c r="G77" s="213">
        <v>230320</v>
      </c>
      <c r="H77" s="213">
        <v>2492211</v>
      </c>
      <c r="I77" s="213">
        <v>956</v>
      </c>
      <c r="J77" s="215"/>
      <c r="K77" s="214">
        <f>SUM(F77:I77)</f>
        <v>2746713</v>
      </c>
      <c r="L77" s="216">
        <v>114731</v>
      </c>
      <c r="M77" s="217">
        <f t="shared" si="12"/>
        <v>3030842</v>
      </c>
      <c r="N77" s="277">
        <v>4953882</v>
      </c>
      <c r="O77" s="205"/>
      <c r="P77" s="218">
        <f>N73-M77</f>
        <v>2129930</v>
      </c>
      <c r="Q77" s="219"/>
      <c r="R77" s="219"/>
      <c r="S77" s="220">
        <v>10299680</v>
      </c>
      <c r="T77" s="221">
        <v>60143000</v>
      </c>
      <c r="U77" s="213">
        <f>N77*1000</f>
        <v>4953882000</v>
      </c>
      <c r="V77" s="222">
        <f t="shared" si="9"/>
        <v>82.368388673661102</v>
      </c>
      <c r="W77" s="213">
        <f t="shared" ref="W77" si="20">U77-(U77*0.3)</f>
        <v>3467717400</v>
      </c>
      <c r="X77" s="223">
        <f t="shared" si="15"/>
        <v>57.657872071562778</v>
      </c>
      <c r="Z77" s="224"/>
    </row>
    <row r="78" spans="1:26" x14ac:dyDescent="0.3">
      <c r="A78" s="225" t="s">
        <v>114</v>
      </c>
      <c r="N78" s="278" t="s">
        <v>158</v>
      </c>
      <c r="T78" s="226" t="s">
        <v>148</v>
      </c>
      <c r="U78" s="279"/>
      <c r="Z78" s="227"/>
    </row>
    <row r="79" spans="1:26" x14ac:dyDescent="0.3">
      <c r="A79" s="228" t="s">
        <v>113</v>
      </c>
      <c r="B79" s="137" t="s">
        <v>115</v>
      </c>
      <c r="C79" s="134"/>
      <c r="T79" s="229"/>
      <c r="Z79" s="227"/>
    </row>
    <row r="80" spans="1:26" x14ac:dyDescent="0.3">
      <c r="A80" s="228" t="s">
        <v>83</v>
      </c>
      <c r="B80" s="137" t="s">
        <v>153</v>
      </c>
      <c r="C80" s="134"/>
      <c r="Z80" s="227"/>
    </row>
    <row r="81" spans="1:26" x14ac:dyDescent="0.3">
      <c r="A81" s="228"/>
      <c r="Z81" s="227"/>
    </row>
    <row r="82" spans="1:26" x14ac:dyDescent="0.3">
      <c r="A82" s="225" t="s">
        <v>120</v>
      </c>
      <c r="Z82" s="227"/>
    </row>
    <row r="83" spans="1:26" x14ac:dyDescent="0.3">
      <c r="A83" s="230" t="s">
        <v>119</v>
      </c>
      <c r="B83" s="231" t="s">
        <v>118</v>
      </c>
      <c r="C83" s="134"/>
      <c r="Z83" s="232"/>
    </row>
    <row r="84" spans="1:26" x14ac:dyDescent="0.3">
      <c r="A84" s="230"/>
      <c r="B84" s="231" t="s">
        <v>154</v>
      </c>
      <c r="C84" s="134"/>
      <c r="Z84" s="227"/>
    </row>
    <row r="85" spans="1:26" x14ac:dyDescent="0.3">
      <c r="A85" s="230" t="s">
        <v>121</v>
      </c>
      <c r="B85" s="137" t="s">
        <v>130</v>
      </c>
      <c r="C85" s="134"/>
      <c r="U85" s="233"/>
      <c r="Z85" s="227"/>
    </row>
    <row r="86" spans="1:26" x14ac:dyDescent="0.3">
      <c r="A86" s="230" t="s">
        <v>155</v>
      </c>
      <c r="B86" s="137" t="s">
        <v>131</v>
      </c>
      <c r="Z86" s="227"/>
    </row>
    <row r="87" spans="1:26" x14ac:dyDescent="0.3">
      <c r="A87" s="134" t="s">
        <v>146</v>
      </c>
      <c r="B87" s="137" t="s">
        <v>149</v>
      </c>
      <c r="Z87" s="227"/>
    </row>
    <row r="88" spans="1:26" x14ac:dyDescent="0.3">
      <c r="Z88" s="227"/>
    </row>
    <row r="89" spans="1:26" x14ac:dyDescent="0.3">
      <c r="A89" s="134" t="s">
        <v>137</v>
      </c>
      <c r="B89" s="235" t="s">
        <v>157</v>
      </c>
      <c r="C89" s="236"/>
      <c r="Z89" s="227"/>
    </row>
    <row r="90" spans="1:26" x14ac:dyDescent="0.3">
      <c r="Z90" s="227"/>
    </row>
    <row r="91" spans="1:26" x14ac:dyDescent="0.3">
      <c r="B91" s="234" t="s">
        <v>143</v>
      </c>
      <c r="Z91" s="227"/>
    </row>
    <row r="92" spans="1:26" x14ac:dyDescent="0.3">
      <c r="Z92" s="227"/>
    </row>
    <row r="93" spans="1:26" x14ac:dyDescent="0.3">
      <c r="Z93" s="227"/>
    </row>
    <row r="94" spans="1:26" x14ac:dyDescent="0.3">
      <c r="Z94" s="227"/>
    </row>
    <row r="95" spans="1:26" x14ac:dyDescent="0.3">
      <c r="Z95" s="227"/>
    </row>
    <row r="96" spans="1:26" x14ac:dyDescent="0.3">
      <c r="Z96" s="227"/>
    </row>
    <row r="97" spans="26:26" x14ac:dyDescent="0.3">
      <c r="Z97" s="227"/>
    </row>
    <row r="98" spans="26:26" x14ac:dyDescent="0.3">
      <c r="Z98" s="227"/>
    </row>
    <row r="99" spans="26:26" x14ac:dyDescent="0.3">
      <c r="Z99" s="227"/>
    </row>
  </sheetData>
  <mergeCells count="1">
    <mergeCell ref="A3:N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6"/>
  <sheetViews>
    <sheetView zoomScaleNormal="100" workbookViewId="0">
      <pane xSplit="1" ySplit="3" topLeftCell="B24" activePane="bottomRight" state="frozen"/>
      <selection pane="topRight" activeCell="B1" sqref="B1"/>
      <selection pane="bottomLeft" activeCell="A4" sqref="A4"/>
      <selection pane="bottomRight" activeCell="B37" sqref="B37"/>
    </sheetView>
  </sheetViews>
  <sheetFormatPr defaultColWidth="9.109375" defaultRowHeight="14.4" x14ac:dyDescent="0.3"/>
  <cols>
    <col min="1" max="1" width="15.6640625" style="270" customWidth="1"/>
    <col min="2" max="9" width="12.6640625" customWidth="1"/>
    <col min="11" max="11" width="10.44140625" customWidth="1"/>
  </cols>
  <sheetData>
    <row r="1" spans="1:18" ht="30.75" customHeight="1" thickBot="1" x14ac:dyDescent="0.35">
      <c r="A1" s="272"/>
      <c r="B1" s="237" t="s">
        <v>117</v>
      </c>
      <c r="C1" s="273"/>
      <c r="D1" s="273"/>
      <c r="E1" s="274"/>
      <c r="F1" s="274"/>
      <c r="G1" s="272"/>
      <c r="H1" s="272"/>
      <c r="I1" s="272"/>
      <c r="J1" s="275"/>
      <c r="K1" s="275"/>
      <c r="L1" s="275"/>
      <c r="M1" s="275"/>
    </row>
    <row r="2" spans="1:18" ht="72.599999999999994" thickBot="1" x14ac:dyDescent="0.35">
      <c r="A2" s="238" t="s">
        <v>14</v>
      </c>
      <c r="B2" s="239" t="s">
        <v>5</v>
      </c>
      <c r="C2" s="239" t="s">
        <v>76</v>
      </c>
      <c r="D2" s="239" t="s">
        <v>9</v>
      </c>
      <c r="E2" s="239" t="s">
        <v>10</v>
      </c>
      <c r="F2" s="239" t="s">
        <v>11</v>
      </c>
      <c r="G2" s="239" t="s">
        <v>67</v>
      </c>
      <c r="H2" s="239" t="s">
        <v>60</v>
      </c>
      <c r="I2" s="240" t="s">
        <v>85</v>
      </c>
    </row>
    <row r="3" spans="1:18" ht="15" thickBot="1" x14ac:dyDescent="0.35">
      <c r="A3" s="283" t="s">
        <v>77</v>
      </c>
      <c r="B3" s="284"/>
      <c r="C3" s="284"/>
      <c r="D3" s="284"/>
      <c r="E3" s="284"/>
      <c r="F3" s="284"/>
      <c r="G3" s="284"/>
      <c r="H3" s="284"/>
      <c r="I3" s="285"/>
    </row>
    <row r="4" spans="1:18" x14ac:dyDescent="0.3">
      <c r="A4" s="241" t="s">
        <v>21</v>
      </c>
      <c r="B4" s="242"/>
      <c r="C4" s="242"/>
      <c r="D4" s="242"/>
      <c r="E4" s="243"/>
      <c r="F4" s="244" t="s">
        <v>87</v>
      </c>
      <c r="G4" s="242">
        <v>4808.0752000000002</v>
      </c>
      <c r="H4" s="242"/>
      <c r="I4" s="245">
        <v>4808.0752000000002</v>
      </c>
      <c r="R4" s="246"/>
    </row>
    <row r="5" spans="1:18" x14ac:dyDescent="0.3">
      <c r="A5" s="247" t="s">
        <v>22</v>
      </c>
      <c r="B5" s="248"/>
      <c r="C5" s="248"/>
      <c r="D5" s="248"/>
      <c r="E5" s="248"/>
      <c r="F5" s="248"/>
      <c r="G5" s="248">
        <v>19595.1744</v>
      </c>
      <c r="H5" s="248"/>
      <c r="I5" s="249">
        <v>19595.1744</v>
      </c>
      <c r="R5" s="246"/>
    </row>
    <row r="6" spans="1:18" x14ac:dyDescent="0.3">
      <c r="A6" s="247" t="s">
        <v>23</v>
      </c>
      <c r="B6" s="248"/>
      <c r="C6" s="248"/>
      <c r="D6" s="248"/>
      <c r="E6" s="248"/>
      <c r="F6" s="248"/>
      <c r="G6" s="248">
        <v>14061.352000000001</v>
      </c>
      <c r="H6" s="248"/>
      <c r="I6" s="249">
        <v>14061.352000000001</v>
      </c>
      <c r="R6" s="246"/>
    </row>
    <row r="7" spans="1:18" x14ac:dyDescent="0.3">
      <c r="A7" s="247" t="s">
        <v>24</v>
      </c>
      <c r="B7" s="248"/>
      <c r="C7" s="248"/>
      <c r="D7" s="248"/>
      <c r="E7" s="248"/>
      <c r="F7" s="248"/>
      <c r="G7" s="248">
        <v>16238.5936</v>
      </c>
      <c r="H7" s="248"/>
      <c r="I7" s="249">
        <v>16238.5936</v>
      </c>
      <c r="R7" s="246"/>
    </row>
    <row r="8" spans="1:18" x14ac:dyDescent="0.3">
      <c r="A8" s="247" t="s">
        <v>25</v>
      </c>
      <c r="B8" s="248"/>
      <c r="C8" s="248"/>
      <c r="D8" s="248"/>
      <c r="E8" s="248"/>
      <c r="F8" s="248"/>
      <c r="G8" s="248">
        <v>19323.019199999999</v>
      </c>
      <c r="H8" s="248"/>
      <c r="I8" s="249">
        <v>19323.019199999999</v>
      </c>
      <c r="R8" s="246"/>
    </row>
    <row r="9" spans="1:18" x14ac:dyDescent="0.3">
      <c r="A9" s="247" t="s">
        <v>26</v>
      </c>
      <c r="B9" s="248"/>
      <c r="C9" s="248"/>
      <c r="D9" s="248"/>
      <c r="E9" s="248"/>
      <c r="F9" s="248"/>
      <c r="G9" s="248">
        <v>42909.803200000002</v>
      </c>
      <c r="H9" s="248"/>
      <c r="I9" s="249">
        <v>42909.803200000002</v>
      </c>
      <c r="R9" s="246"/>
    </row>
    <row r="10" spans="1:18" x14ac:dyDescent="0.3">
      <c r="A10" s="250" t="s">
        <v>27</v>
      </c>
      <c r="B10" s="248"/>
      <c r="C10" s="248"/>
      <c r="D10" s="248"/>
      <c r="E10" s="248"/>
      <c r="F10" s="248"/>
      <c r="G10" s="248">
        <v>24221.8128</v>
      </c>
      <c r="H10" s="248"/>
      <c r="I10" s="249">
        <v>24221.8128</v>
      </c>
      <c r="R10" s="246"/>
    </row>
    <row r="11" spans="1:18" x14ac:dyDescent="0.3">
      <c r="A11" s="247" t="s">
        <v>28</v>
      </c>
      <c r="B11" s="248"/>
      <c r="C11" s="248"/>
      <c r="D11" s="248"/>
      <c r="E11" s="248"/>
      <c r="F11" s="248"/>
      <c r="G11" s="248">
        <v>17236.495999999999</v>
      </c>
      <c r="H11" s="248"/>
      <c r="I11" s="249">
        <v>17236.495999999999</v>
      </c>
      <c r="R11" s="246"/>
    </row>
    <row r="12" spans="1:18" x14ac:dyDescent="0.3">
      <c r="A12" s="247" t="s">
        <v>29</v>
      </c>
      <c r="B12" s="248"/>
      <c r="C12" s="248"/>
      <c r="D12" s="248"/>
      <c r="E12" s="248"/>
      <c r="F12" s="248"/>
      <c r="G12" s="248">
        <v>13698.4784</v>
      </c>
      <c r="H12" s="248"/>
      <c r="I12" s="249">
        <v>13698.4784</v>
      </c>
      <c r="R12" s="246"/>
    </row>
    <row r="13" spans="1:18" x14ac:dyDescent="0.3">
      <c r="A13" s="247" t="s">
        <v>30</v>
      </c>
      <c r="B13" s="248"/>
      <c r="C13" s="248"/>
      <c r="D13" s="248"/>
      <c r="E13" s="248"/>
      <c r="F13" s="248"/>
      <c r="G13" s="248">
        <v>9000</v>
      </c>
      <c r="H13" s="248"/>
      <c r="I13" s="249">
        <v>9000</v>
      </c>
      <c r="R13" s="246"/>
    </row>
    <row r="14" spans="1:18" x14ac:dyDescent="0.3">
      <c r="A14" s="247" t="s">
        <v>31</v>
      </c>
      <c r="B14" s="248"/>
      <c r="C14" s="248"/>
      <c r="D14" s="248"/>
      <c r="E14" s="248"/>
      <c r="F14" s="248"/>
      <c r="G14" s="248">
        <v>8000</v>
      </c>
      <c r="H14" s="248"/>
      <c r="I14" s="249">
        <v>8000</v>
      </c>
    </row>
    <row r="15" spans="1:18" x14ac:dyDescent="0.3">
      <c r="A15" s="250" t="s">
        <v>32</v>
      </c>
      <c r="B15" s="248"/>
      <c r="C15" s="248"/>
      <c r="D15" s="248"/>
      <c r="E15" s="248"/>
      <c r="F15" s="248"/>
      <c r="G15" s="248">
        <v>12000</v>
      </c>
      <c r="H15" s="248"/>
      <c r="I15" s="249">
        <v>12000</v>
      </c>
    </row>
    <row r="16" spans="1:18" x14ac:dyDescent="0.3">
      <c r="A16" s="247" t="s">
        <v>33</v>
      </c>
      <c r="B16" s="248"/>
      <c r="C16" s="248"/>
      <c r="D16" s="248"/>
      <c r="E16" s="248"/>
      <c r="F16" s="248"/>
      <c r="G16" s="248">
        <v>5000</v>
      </c>
      <c r="H16" s="248"/>
      <c r="I16" s="249">
        <v>5000</v>
      </c>
    </row>
    <row r="17" spans="1:11" x14ac:dyDescent="0.3">
      <c r="A17" s="247" t="s">
        <v>34</v>
      </c>
      <c r="B17" s="248"/>
      <c r="C17" s="248"/>
      <c r="D17" s="248"/>
      <c r="E17" s="248"/>
      <c r="F17" s="248"/>
      <c r="G17" s="248">
        <v>6000</v>
      </c>
      <c r="H17" s="248"/>
      <c r="I17" s="249">
        <v>6000</v>
      </c>
    </row>
    <row r="18" spans="1:11" x14ac:dyDescent="0.3">
      <c r="A18" s="247" t="s">
        <v>35</v>
      </c>
      <c r="B18" s="248"/>
      <c r="C18" s="248"/>
      <c r="D18" s="248"/>
      <c r="E18" s="248"/>
      <c r="F18" s="248"/>
      <c r="G18" s="248">
        <v>4000</v>
      </c>
      <c r="H18" s="248"/>
      <c r="I18" s="249">
        <v>4000</v>
      </c>
    </row>
    <row r="19" spans="1:11" x14ac:dyDescent="0.3">
      <c r="A19" s="247" t="s">
        <v>36</v>
      </c>
      <c r="B19" s="248"/>
      <c r="C19" s="248"/>
      <c r="D19" s="248"/>
      <c r="E19" s="248"/>
      <c r="F19" s="248"/>
      <c r="G19" s="251">
        <v>6000</v>
      </c>
      <c r="H19" s="248"/>
      <c r="I19" s="252">
        <v>6000</v>
      </c>
    </row>
    <row r="20" spans="1:11" x14ac:dyDescent="0.3">
      <c r="A20" s="253" t="s">
        <v>37</v>
      </c>
      <c r="B20" s="248"/>
      <c r="C20" s="248"/>
      <c r="D20" s="248"/>
      <c r="E20" s="248"/>
      <c r="F20" s="248"/>
      <c r="G20" s="251">
        <v>3000</v>
      </c>
      <c r="H20" s="248"/>
      <c r="I20" s="252">
        <v>3000</v>
      </c>
    </row>
    <row r="21" spans="1:11" x14ac:dyDescent="0.3">
      <c r="A21" s="286" t="s">
        <v>86</v>
      </c>
      <c r="B21" s="287"/>
      <c r="C21" s="287"/>
      <c r="D21" s="287"/>
      <c r="E21" s="287"/>
      <c r="F21" s="287"/>
      <c r="G21" s="287"/>
      <c r="H21" s="287"/>
      <c r="I21" s="288"/>
    </row>
    <row r="22" spans="1:11" x14ac:dyDescent="0.3">
      <c r="A22" s="254" t="s">
        <v>68</v>
      </c>
      <c r="B22" s="248">
        <v>184130</v>
      </c>
      <c r="C22" s="248">
        <v>290388</v>
      </c>
      <c r="D22" s="248">
        <v>43582</v>
      </c>
      <c r="E22" s="248">
        <v>16087</v>
      </c>
      <c r="F22" s="248">
        <v>38777</v>
      </c>
      <c r="G22" s="248">
        <v>1202</v>
      </c>
      <c r="H22" s="248">
        <v>60437</v>
      </c>
      <c r="I22" s="249">
        <f t="shared" ref="I22:I28" si="0">SUM(B22:H22)</f>
        <v>634603</v>
      </c>
    </row>
    <row r="23" spans="1:11" x14ac:dyDescent="0.3">
      <c r="A23" s="253" t="s">
        <v>69</v>
      </c>
      <c r="B23" s="248">
        <v>171566</v>
      </c>
      <c r="C23" s="248">
        <v>266524</v>
      </c>
      <c r="D23" s="248">
        <v>33355</v>
      </c>
      <c r="E23" s="248">
        <v>3978</v>
      </c>
      <c r="F23" s="248">
        <v>31789</v>
      </c>
      <c r="G23" s="248">
        <v>2</v>
      </c>
      <c r="H23" s="248">
        <v>56325</v>
      </c>
      <c r="I23" s="249">
        <f t="shared" si="0"/>
        <v>563539</v>
      </c>
    </row>
    <row r="24" spans="1:11" x14ac:dyDescent="0.3">
      <c r="A24" s="255" t="s">
        <v>138</v>
      </c>
      <c r="B24" s="256">
        <v>176241</v>
      </c>
      <c r="C24" s="256">
        <v>268369</v>
      </c>
      <c r="D24" s="256">
        <v>22252</v>
      </c>
      <c r="E24" s="256">
        <v>10734</v>
      </c>
      <c r="F24" s="256">
        <v>29187</v>
      </c>
      <c r="G24" s="256">
        <v>6</v>
      </c>
      <c r="H24" s="256">
        <v>88803</v>
      </c>
      <c r="I24" s="257">
        <f t="shared" si="0"/>
        <v>595592</v>
      </c>
    </row>
    <row r="25" spans="1:11" x14ac:dyDescent="0.3">
      <c r="A25" s="253" t="s">
        <v>142</v>
      </c>
      <c r="B25" s="248">
        <v>188380</v>
      </c>
      <c r="C25" s="248">
        <v>290205</v>
      </c>
      <c r="D25" s="248">
        <v>30105</v>
      </c>
      <c r="E25" s="248">
        <v>4443</v>
      </c>
      <c r="F25" s="248">
        <v>28056</v>
      </c>
      <c r="G25" s="248">
        <v>5</v>
      </c>
      <c r="H25" s="248">
        <v>78202</v>
      </c>
      <c r="I25" s="249">
        <f t="shared" si="0"/>
        <v>619396</v>
      </c>
    </row>
    <row r="26" spans="1:11" ht="15" thickBot="1" x14ac:dyDescent="0.35">
      <c r="A26" s="258" t="s">
        <v>144</v>
      </c>
      <c r="B26" s="259">
        <v>205068</v>
      </c>
      <c r="C26" s="259">
        <v>301905</v>
      </c>
      <c r="D26" s="259">
        <v>36050</v>
      </c>
      <c r="E26" s="259">
        <v>3501</v>
      </c>
      <c r="F26" s="259">
        <v>25084</v>
      </c>
      <c r="G26" s="259">
        <v>10</v>
      </c>
      <c r="H26" s="259">
        <v>90768</v>
      </c>
      <c r="I26" s="260">
        <f t="shared" si="0"/>
        <v>662386</v>
      </c>
    </row>
    <row r="27" spans="1:11" x14ac:dyDescent="0.3">
      <c r="A27" s="253" t="s">
        <v>145</v>
      </c>
      <c r="B27" s="256">
        <v>187890</v>
      </c>
      <c r="C27" s="248">
        <v>292219</v>
      </c>
      <c r="D27" s="248">
        <v>60971</v>
      </c>
      <c r="E27" s="248">
        <v>1830</v>
      </c>
      <c r="F27" s="248">
        <v>18790</v>
      </c>
      <c r="G27" s="248">
        <v>44</v>
      </c>
      <c r="H27" s="248">
        <v>59402</v>
      </c>
      <c r="I27" s="249">
        <f t="shared" si="0"/>
        <v>621146</v>
      </c>
      <c r="K27" s="261" t="s">
        <v>150</v>
      </c>
    </row>
    <row r="28" spans="1:11" ht="15" thickBot="1" x14ac:dyDescent="0.35">
      <c r="A28" s="262" t="s">
        <v>147</v>
      </c>
      <c r="B28" s="276">
        <v>187242</v>
      </c>
      <c r="C28" s="263">
        <v>282151</v>
      </c>
      <c r="D28" s="263">
        <v>43189</v>
      </c>
      <c r="E28" s="263">
        <v>2756</v>
      </c>
      <c r="F28" s="263">
        <v>20308</v>
      </c>
      <c r="G28" s="263">
        <v>7</v>
      </c>
      <c r="H28" s="263">
        <v>60245</v>
      </c>
      <c r="I28" s="264">
        <f t="shared" si="0"/>
        <v>595898</v>
      </c>
      <c r="K28" s="265">
        <f>I28-B28</f>
        <v>408656</v>
      </c>
    </row>
    <row r="29" spans="1:11" x14ac:dyDescent="0.3">
      <c r="A29" s="266" t="s">
        <v>141</v>
      </c>
    </row>
    <row r="30" spans="1:11" x14ac:dyDescent="0.3">
      <c r="A30" s="267" t="s">
        <v>139</v>
      </c>
    </row>
    <row r="31" spans="1:11" x14ac:dyDescent="0.3">
      <c r="A31" s="268" t="s">
        <v>120</v>
      </c>
    </row>
    <row r="32" spans="1:11" x14ac:dyDescent="0.3">
      <c r="A32" s="269" t="s">
        <v>122</v>
      </c>
    </row>
    <row r="33" spans="1:2" x14ac:dyDescent="0.3">
      <c r="A33" s="269" t="s">
        <v>123</v>
      </c>
    </row>
    <row r="35" spans="1:2" x14ac:dyDescent="0.3">
      <c r="A35" s="267"/>
    </row>
    <row r="36" spans="1:2" x14ac:dyDescent="0.3">
      <c r="A36" s="270" t="s">
        <v>137</v>
      </c>
      <c r="B36" s="271">
        <v>45054</v>
      </c>
    </row>
  </sheetData>
  <mergeCells count="2">
    <mergeCell ref="A3:I3"/>
    <mergeCell ref="A21:I21"/>
  </mergeCells>
  <phoneticPr fontId="2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7"/>
  <sheetViews>
    <sheetView zoomScale="85" zoomScaleNormal="85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C56" sqref="C56"/>
    </sheetView>
  </sheetViews>
  <sheetFormatPr defaultColWidth="9.109375" defaultRowHeight="13.8" x14ac:dyDescent="0.25"/>
  <cols>
    <col min="1" max="1" width="12.44140625" style="20" customWidth="1"/>
    <col min="2" max="2" width="10.109375" style="20" customWidth="1"/>
    <col min="3" max="10" width="9.88671875" style="17" customWidth="1"/>
    <col min="11" max="11" width="2.33203125" style="17" customWidth="1"/>
    <col min="12" max="14" width="9.88671875" style="17" customWidth="1"/>
    <col min="15" max="15" width="2.109375" style="17" customWidth="1"/>
    <col min="16" max="21" width="9.88671875" style="17" customWidth="1"/>
    <col min="22" max="22" width="9.88671875" style="18" bestFit="1" customWidth="1"/>
    <col min="23" max="23" width="9.109375" style="18" customWidth="1"/>
    <col min="24" max="24" width="9.109375" style="18"/>
    <col min="25" max="25" width="10.88671875" style="1" bestFit="1" customWidth="1"/>
    <col min="26" max="26" width="11.109375" style="1" customWidth="1"/>
    <col min="27" max="16384" width="9.109375" style="1"/>
  </cols>
  <sheetData>
    <row r="1" spans="1:26" ht="14.4" thickBot="1" x14ac:dyDescent="0.3">
      <c r="A1" s="291" t="s">
        <v>13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</row>
    <row r="2" spans="1:26" ht="83.4" thickBot="1" x14ac:dyDescent="0.3">
      <c r="A2" s="21" t="s">
        <v>14</v>
      </c>
      <c r="B2" s="97"/>
      <c r="C2" s="23" t="s">
        <v>5</v>
      </c>
      <c r="D2" s="70"/>
      <c r="E2" s="23" t="s">
        <v>6</v>
      </c>
      <c r="F2" s="70"/>
      <c r="G2" s="23" t="s">
        <v>7</v>
      </c>
      <c r="H2" s="70"/>
      <c r="I2" s="23" t="s">
        <v>8</v>
      </c>
      <c r="J2" s="70"/>
      <c r="K2" s="24"/>
      <c r="L2" s="25" t="s">
        <v>9</v>
      </c>
      <c r="M2" s="70"/>
      <c r="N2" s="23" t="s">
        <v>10</v>
      </c>
      <c r="O2" s="24"/>
      <c r="P2" s="25" t="s">
        <v>11</v>
      </c>
      <c r="Q2" s="70"/>
      <c r="R2" s="23" t="s">
        <v>12</v>
      </c>
      <c r="S2" s="70"/>
      <c r="T2" s="23" t="s">
        <v>60</v>
      </c>
      <c r="U2" s="70"/>
      <c r="V2" s="23" t="s">
        <v>79</v>
      </c>
      <c r="W2" s="70"/>
      <c r="X2" s="23" t="s">
        <v>88</v>
      </c>
      <c r="Y2" s="22" t="s">
        <v>78</v>
      </c>
      <c r="Z2" s="19"/>
    </row>
    <row r="3" spans="1:26" ht="18.600000000000001" thickBot="1" x14ac:dyDescent="0.3">
      <c r="A3" s="292" t="s">
        <v>66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4"/>
      <c r="Z3" s="19"/>
    </row>
    <row r="4" spans="1:26" ht="14.4" thickBot="1" x14ac:dyDescent="0.3">
      <c r="A4" s="95"/>
      <c r="B4" s="98"/>
      <c r="C4" s="86">
        <v>0.453592</v>
      </c>
      <c r="D4" s="87"/>
      <c r="E4" s="88" t="s">
        <v>73</v>
      </c>
      <c r="F4" s="88"/>
      <c r="G4" s="88"/>
      <c r="H4" s="89"/>
      <c r="I4" s="89"/>
      <c r="J4" s="89"/>
      <c r="K4" s="90"/>
      <c r="L4" s="91"/>
      <c r="M4" s="89"/>
      <c r="N4" s="89"/>
      <c r="O4" s="92"/>
      <c r="P4" s="91"/>
      <c r="Q4" s="89"/>
      <c r="R4" s="89"/>
      <c r="S4" s="89"/>
      <c r="T4" s="89"/>
      <c r="U4" s="89"/>
      <c r="V4" s="93"/>
      <c r="W4" s="93"/>
      <c r="X4" s="94"/>
      <c r="Y4" s="96"/>
    </row>
    <row r="5" spans="1:26" x14ac:dyDescent="0.25">
      <c r="A5" s="49" t="s">
        <v>0</v>
      </c>
      <c r="B5" s="99" t="s">
        <v>80</v>
      </c>
      <c r="C5" s="26">
        <v>0</v>
      </c>
      <c r="D5" s="83">
        <v>548</v>
      </c>
      <c r="E5" s="126">
        <f>D5*1000*200*$C$4/1000</f>
        <v>49713.683199999999</v>
      </c>
      <c r="F5" s="83">
        <v>92</v>
      </c>
      <c r="G5" s="26">
        <f t="shared" ref="G5:I11" si="0">F5*1000*200*$C$4/1000</f>
        <v>8346.0928000000004</v>
      </c>
      <c r="H5" s="83">
        <v>477</v>
      </c>
      <c r="I5" s="26">
        <f t="shared" si="0"/>
        <v>43272.676799999994</v>
      </c>
      <c r="J5" s="83"/>
      <c r="K5" s="9"/>
      <c r="L5" s="8"/>
      <c r="M5" s="83"/>
      <c r="N5" s="6"/>
      <c r="O5" s="9"/>
      <c r="P5" s="8"/>
      <c r="Q5" s="84"/>
      <c r="R5" s="6"/>
      <c r="S5" s="83"/>
      <c r="T5" s="6"/>
      <c r="U5" s="83">
        <f>13036+18</f>
        <v>13054</v>
      </c>
      <c r="V5" s="2">
        <f>U5*1000*200*$C$4/1000</f>
        <v>1184237.9935999999</v>
      </c>
      <c r="W5" s="85">
        <f>52+1206</f>
        <v>1258</v>
      </c>
      <c r="X5" s="10">
        <f t="shared" ref="X5:X6" si="1">W5*1000*200*$C$4/1000</f>
        <v>114123.7472</v>
      </c>
      <c r="Y5" s="66">
        <f t="shared" ref="Y5:Y33" si="2">C5+E5+G5+I5+L5+N5+P5+R5+T5+V5+X5</f>
        <v>1399694.1936000001</v>
      </c>
      <c r="Z5" s="20"/>
    </row>
    <row r="6" spans="1:26" x14ac:dyDescent="0.25">
      <c r="A6" s="50" t="s">
        <v>1</v>
      </c>
      <c r="B6" s="102"/>
      <c r="C6" s="27">
        <f t="shared" ref="C6:E21" si="3">B6*1000*200*$C$4/1000</f>
        <v>0</v>
      </c>
      <c r="D6" s="71">
        <v>719</v>
      </c>
      <c r="E6" s="27">
        <f t="shared" si="3"/>
        <v>65226.529600000002</v>
      </c>
      <c r="F6" s="71">
        <v>111</v>
      </c>
      <c r="G6" s="27">
        <f t="shared" si="0"/>
        <v>10069.742400000001</v>
      </c>
      <c r="H6" s="71">
        <v>513</v>
      </c>
      <c r="I6" s="27">
        <f t="shared" ref="I6" si="4">H6*1000*200*$C$4/1000</f>
        <v>46538.539200000007</v>
      </c>
      <c r="J6" s="71"/>
      <c r="K6" s="13"/>
      <c r="L6" s="4"/>
      <c r="M6" s="71"/>
      <c r="N6" s="3"/>
      <c r="O6" s="5"/>
      <c r="P6" s="4"/>
      <c r="Q6" s="79"/>
      <c r="R6" s="3"/>
      <c r="S6" s="71"/>
      <c r="T6" s="3"/>
      <c r="U6" s="71">
        <f>12829+24</f>
        <v>12853</v>
      </c>
      <c r="V6" s="15">
        <f t="shared" ref="V6:V10" si="5">U6*1000*200*$C$4/1000</f>
        <v>1166003.5952000001</v>
      </c>
      <c r="W6" s="80">
        <f>128+1194</f>
        <v>1322</v>
      </c>
      <c r="X6" s="15">
        <f t="shared" si="1"/>
        <v>119929.7248</v>
      </c>
      <c r="Y6" s="67">
        <f t="shared" si="2"/>
        <v>1407768.1312000002</v>
      </c>
    </row>
    <row r="7" spans="1:26" x14ac:dyDescent="0.25">
      <c r="A7" s="50" t="s">
        <v>2</v>
      </c>
      <c r="B7" s="102"/>
      <c r="C7" s="27">
        <f t="shared" si="3"/>
        <v>0</v>
      </c>
      <c r="D7" s="71">
        <v>661</v>
      </c>
      <c r="E7" s="27">
        <f t="shared" si="3"/>
        <v>59964.862399999998</v>
      </c>
      <c r="F7" s="71">
        <v>66</v>
      </c>
      <c r="G7" s="27">
        <f t="shared" si="0"/>
        <v>5987.4144000000006</v>
      </c>
      <c r="H7" s="71">
        <v>529</v>
      </c>
      <c r="I7" s="27">
        <f t="shared" ref="I7" si="6">H7*1000*200*$C$4/1000</f>
        <v>47990.033600000002</v>
      </c>
      <c r="J7" s="71"/>
      <c r="K7" s="5"/>
      <c r="L7" s="4"/>
      <c r="M7" s="71"/>
      <c r="N7" s="3"/>
      <c r="O7" s="5"/>
      <c r="P7" s="4"/>
      <c r="Q7" s="79"/>
      <c r="R7" s="3"/>
      <c r="S7" s="71"/>
      <c r="T7" s="3"/>
      <c r="U7" s="71">
        <f>12385+17</f>
        <v>12402</v>
      </c>
      <c r="V7" s="15">
        <f t="shared" si="5"/>
        <v>1125089.5967999999</v>
      </c>
      <c r="W7" s="80">
        <f>264+1320</f>
        <v>1584</v>
      </c>
      <c r="X7" s="15">
        <f t="shared" ref="X7" si="7">W7*1000*200*$C$4/1000</f>
        <v>143697.94560000001</v>
      </c>
      <c r="Y7" s="67">
        <f t="shared" si="2"/>
        <v>1382729.8528</v>
      </c>
    </row>
    <row r="8" spans="1:26" x14ac:dyDescent="0.25">
      <c r="A8" s="50" t="s">
        <v>3</v>
      </c>
      <c r="B8" s="102"/>
      <c r="C8" s="27">
        <f t="shared" si="3"/>
        <v>0</v>
      </c>
      <c r="D8" s="71">
        <v>636</v>
      </c>
      <c r="E8" s="27">
        <f t="shared" si="3"/>
        <v>57696.902399999999</v>
      </c>
      <c r="F8" s="71">
        <v>76</v>
      </c>
      <c r="G8" s="27">
        <f t="shared" si="0"/>
        <v>6894.5984000000008</v>
      </c>
      <c r="H8" s="71">
        <v>627</v>
      </c>
      <c r="I8" s="27">
        <f t="shared" ref="I8" si="8">H8*1000*200*$C$4/1000</f>
        <v>56880.436799999996</v>
      </c>
      <c r="J8" s="71"/>
      <c r="K8" s="13"/>
      <c r="L8" s="4"/>
      <c r="M8" s="71"/>
      <c r="N8" s="3"/>
      <c r="O8" s="5"/>
      <c r="P8" s="4"/>
      <c r="Q8" s="79"/>
      <c r="R8" s="3"/>
      <c r="S8" s="71"/>
      <c r="T8" s="3"/>
      <c r="U8" s="71">
        <f>10865+15</f>
        <v>10880</v>
      </c>
      <c r="V8" s="15">
        <f t="shared" si="5"/>
        <v>987016.19200000004</v>
      </c>
      <c r="W8" s="80">
        <f>428+1128</f>
        <v>1556</v>
      </c>
      <c r="X8" s="15">
        <f t="shared" ref="X8" si="9">W8*1000*200*$C$4/1000</f>
        <v>141157.83040000001</v>
      </c>
      <c r="Y8" s="67">
        <f t="shared" si="2"/>
        <v>1249645.9600000002</v>
      </c>
    </row>
    <row r="9" spans="1:26" x14ac:dyDescent="0.25">
      <c r="A9" s="50" t="s">
        <v>4</v>
      </c>
      <c r="B9" s="102"/>
      <c r="C9" s="27">
        <f t="shared" si="3"/>
        <v>0</v>
      </c>
      <c r="D9" s="71">
        <v>636</v>
      </c>
      <c r="E9" s="27">
        <f t="shared" si="3"/>
        <v>57696.902399999999</v>
      </c>
      <c r="F9" s="71">
        <v>76</v>
      </c>
      <c r="G9" s="27">
        <f t="shared" si="0"/>
        <v>6894.5984000000008</v>
      </c>
      <c r="H9" s="71">
        <v>627</v>
      </c>
      <c r="I9" s="27">
        <f t="shared" ref="I9" si="10">H9*1000*200*$C$4/1000</f>
        <v>56880.436799999996</v>
      </c>
      <c r="J9" s="71"/>
      <c r="K9" s="5"/>
      <c r="L9" s="4"/>
      <c r="M9" s="71"/>
      <c r="N9" s="3"/>
      <c r="O9" s="5"/>
      <c r="P9" s="4"/>
      <c r="Q9" s="79"/>
      <c r="R9" s="3"/>
      <c r="S9" s="71"/>
      <c r="T9" s="3"/>
      <c r="U9" s="71">
        <f>10865+15</f>
        <v>10880</v>
      </c>
      <c r="V9" s="15">
        <f t="shared" si="5"/>
        <v>987016.19200000004</v>
      </c>
      <c r="W9" s="80">
        <f>428+1128</f>
        <v>1556</v>
      </c>
      <c r="X9" s="15">
        <f t="shared" ref="X9" si="11">W9*1000*200*$C$4/1000</f>
        <v>141157.83040000001</v>
      </c>
      <c r="Y9" s="67">
        <f t="shared" si="2"/>
        <v>1249645.9600000002</v>
      </c>
    </row>
    <row r="10" spans="1:26" x14ac:dyDescent="0.25">
      <c r="A10" s="50" t="s">
        <v>15</v>
      </c>
      <c r="B10" s="102"/>
      <c r="C10" s="27">
        <f t="shared" si="3"/>
        <v>0</v>
      </c>
      <c r="D10" s="71">
        <v>625</v>
      </c>
      <c r="E10" s="27">
        <f t="shared" si="3"/>
        <v>56699</v>
      </c>
      <c r="F10" s="71">
        <v>199</v>
      </c>
      <c r="G10" s="27">
        <f t="shared" si="0"/>
        <v>18052.961600000002</v>
      </c>
      <c r="H10" s="71">
        <v>617</v>
      </c>
      <c r="I10" s="27">
        <f t="shared" ref="I10" si="12">H10*1000*200*$C$4/1000</f>
        <v>55973.252799999995</v>
      </c>
      <c r="J10" s="71"/>
      <c r="K10" s="13"/>
      <c r="L10" s="4"/>
      <c r="M10" s="71"/>
      <c r="N10" s="3"/>
      <c r="O10" s="5"/>
      <c r="P10" s="4"/>
      <c r="Q10" s="79"/>
      <c r="R10" s="3"/>
      <c r="S10" s="71"/>
      <c r="T10" s="3"/>
      <c r="U10" s="71">
        <f>13064+28</f>
        <v>13092</v>
      </c>
      <c r="V10" s="15">
        <f t="shared" si="5"/>
        <v>1187685.2927999999</v>
      </c>
      <c r="W10" s="80">
        <f>642+1236</f>
        <v>1878</v>
      </c>
      <c r="X10" s="15">
        <f t="shared" ref="X10" si="13">W10*1000*200*$C$4/1000</f>
        <v>170369.15519999998</v>
      </c>
      <c r="Y10" s="67">
        <f t="shared" si="2"/>
        <v>1488779.6623999998</v>
      </c>
    </row>
    <row r="11" spans="1:26" x14ac:dyDescent="0.25">
      <c r="A11" s="50" t="s">
        <v>16</v>
      </c>
      <c r="B11" s="102">
        <v>1055</v>
      </c>
      <c r="C11" s="27">
        <f t="shared" si="3"/>
        <v>95707.911999999997</v>
      </c>
      <c r="D11" s="71">
        <v>657</v>
      </c>
      <c r="E11" s="27">
        <f t="shared" si="3"/>
        <v>59601.988799999999</v>
      </c>
      <c r="F11" s="71">
        <v>232</v>
      </c>
      <c r="G11" s="27">
        <f t="shared" si="0"/>
        <v>21046.668799999999</v>
      </c>
      <c r="H11" s="71">
        <v>670</v>
      </c>
      <c r="I11" s="27">
        <f t="shared" ref="I11" si="14">H11*1000*200*$C$4/1000</f>
        <v>60781.328000000001</v>
      </c>
      <c r="J11" s="71"/>
      <c r="K11" s="5"/>
      <c r="L11" s="4"/>
      <c r="M11" s="71"/>
      <c r="N11" s="3"/>
      <c r="O11" s="5"/>
      <c r="P11" s="4"/>
      <c r="Q11" s="79"/>
      <c r="R11" s="3"/>
      <c r="S11" s="71"/>
      <c r="T11" s="3"/>
      <c r="U11" s="71">
        <f>14066+42</f>
        <v>14108</v>
      </c>
      <c r="V11" s="15">
        <f t="shared" ref="V11" si="15">U11*1000*200*$C$4/1000</f>
        <v>1279855.1872</v>
      </c>
      <c r="W11" s="80">
        <v>1367</v>
      </c>
      <c r="X11" s="15">
        <f t="shared" ref="X11:X12" si="16">W11*1000*200*$C$4/1000</f>
        <v>124012.05279999999</v>
      </c>
      <c r="Y11" s="67">
        <f t="shared" si="2"/>
        <v>1641005.1376</v>
      </c>
    </row>
    <row r="12" spans="1:26" x14ac:dyDescent="0.25">
      <c r="A12" s="50" t="s">
        <v>17</v>
      </c>
      <c r="B12" s="102">
        <v>1130</v>
      </c>
      <c r="C12" s="27">
        <f t="shared" si="3"/>
        <v>102511.792</v>
      </c>
      <c r="D12" s="71">
        <v>652</v>
      </c>
      <c r="E12" s="27">
        <f t="shared" si="3"/>
        <v>59148.396799999995</v>
      </c>
      <c r="F12" s="71">
        <v>271</v>
      </c>
      <c r="G12" s="27">
        <f t="shared" ref="G12:I21" si="17">F12*1000*200*$C$4/1000</f>
        <v>24584.686399999999</v>
      </c>
      <c r="H12" s="71">
        <v>661</v>
      </c>
      <c r="I12" s="27">
        <f t="shared" si="17"/>
        <v>59964.862399999998</v>
      </c>
      <c r="J12" s="71"/>
      <c r="K12" s="13"/>
      <c r="L12" s="4"/>
      <c r="M12" s="71"/>
      <c r="N12" s="3"/>
      <c r="O12" s="5"/>
      <c r="P12" s="4"/>
      <c r="Q12" s="79"/>
      <c r="R12" s="3"/>
      <c r="S12" s="71"/>
      <c r="T12" s="3"/>
      <c r="U12" s="71">
        <f>14462+51</f>
        <v>14513</v>
      </c>
      <c r="V12" s="15">
        <f>U12*1000*200*$C$4/1000</f>
        <v>1316596.1392000001</v>
      </c>
      <c r="W12" s="80">
        <f>5+1560</f>
        <v>1565</v>
      </c>
      <c r="X12" s="15">
        <f t="shared" si="16"/>
        <v>141974.296</v>
      </c>
      <c r="Y12" s="67">
        <f t="shared" si="2"/>
        <v>1704780.1728000003</v>
      </c>
    </row>
    <row r="13" spans="1:26" x14ac:dyDescent="0.25">
      <c r="A13" s="50" t="s">
        <v>18</v>
      </c>
      <c r="B13" s="102">
        <v>1058</v>
      </c>
      <c r="C13" s="27">
        <f t="shared" si="3"/>
        <v>95980.067200000005</v>
      </c>
      <c r="D13" s="71">
        <v>606</v>
      </c>
      <c r="E13" s="27">
        <f>D13*1000*200*$C$4/1000</f>
        <v>54975.350399999996</v>
      </c>
      <c r="F13" s="71">
        <v>290</v>
      </c>
      <c r="G13" s="27">
        <f t="shared" ref="G13" si="18">F13*1000*200*$C$4/1000</f>
        <v>26308.335999999999</v>
      </c>
      <c r="H13" s="71">
        <v>712</v>
      </c>
      <c r="I13" s="27">
        <f t="shared" si="17"/>
        <v>64591.500799999994</v>
      </c>
      <c r="J13" s="71"/>
      <c r="K13" s="5"/>
      <c r="L13" s="4"/>
      <c r="M13" s="71"/>
      <c r="N13" s="3"/>
      <c r="O13" s="5"/>
      <c r="P13" s="4"/>
      <c r="Q13" s="79"/>
      <c r="R13" s="3"/>
      <c r="S13" s="71"/>
      <c r="T13" s="3"/>
      <c r="U13" s="71">
        <f>14028+41</f>
        <v>14069</v>
      </c>
      <c r="V13" s="15">
        <f t="shared" ref="V13:X15" si="19">U13*1000*200*$C$4/1000</f>
        <v>1276317.1695999999</v>
      </c>
      <c r="W13" s="80">
        <f>2+12+1477</f>
        <v>1491</v>
      </c>
      <c r="X13" s="15">
        <f t="shared" ref="X13:X14" si="20">W13*1000*200*$C$4/1000</f>
        <v>135261.13440000001</v>
      </c>
      <c r="Y13" s="67">
        <f t="shared" si="2"/>
        <v>1653433.5584</v>
      </c>
    </row>
    <row r="14" spans="1:26" x14ac:dyDescent="0.25">
      <c r="A14" s="50" t="s">
        <v>19</v>
      </c>
      <c r="B14" s="102">
        <v>1335</v>
      </c>
      <c r="C14" s="27">
        <f t="shared" si="3"/>
        <v>121109.064</v>
      </c>
      <c r="D14" s="71">
        <v>595</v>
      </c>
      <c r="E14" s="27">
        <f>D14*1000*200*$C$4/1000</f>
        <v>53977.447999999997</v>
      </c>
      <c r="F14" s="71">
        <v>347</v>
      </c>
      <c r="G14" s="27">
        <f t="shared" si="17"/>
        <v>31479.284800000001</v>
      </c>
      <c r="H14" s="71">
        <v>768</v>
      </c>
      <c r="I14" s="27">
        <f t="shared" si="17"/>
        <v>69671.731200000009</v>
      </c>
      <c r="J14" s="71"/>
      <c r="K14" s="13"/>
      <c r="L14" s="4"/>
      <c r="M14" s="71"/>
      <c r="N14" s="3"/>
      <c r="O14" s="5"/>
      <c r="P14" s="4"/>
      <c r="Q14" s="79"/>
      <c r="R14" s="3"/>
      <c r="S14" s="71"/>
      <c r="T14" s="3"/>
      <c r="U14" s="71">
        <f>15728+37</f>
        <v>15765</v>
      </c>
      <c r="V14" s="15">
        <f t="shared" si="19"/>
        <v>1430175.5759999999</v>
      </c>
      <c r="W14" s="80">
        <f>2+20+1669</f>
        <v>1691</v>
      </c>
      <c r="X14" s="15">
        <f t="shared" si="20"/>
        <v>153404.8144</v>
      </c>
      <c r="Y14" s="67">
        <f t="shared" si="2"/>
        <v>1859817.9183999998</v>
      </c>
    </row>
    <row r="15" spans="1:26" x14ac:dyDescent="0.25">
      <c r="A15" s="50" t="s">
        <v>20</v>
      </c>
      <c r="B15" s="102">
        <v>881</v>
      </c>
      <c r="C15" s="27">
        <f t="shared" si="3"/>
        <v>79922.910400000008</v>
      </c>
      <c r="D15" s="71">
        <v>544</v>
      </c>
      <c r="E15" s="27">
        <f>D15*1000*200*$C$4/1000</f>
        <v>49350.809600000001</v>
      </c>
      <c r="F15" s="71">
        <v>246</v>
      </c>
      <c r="G15" s="27">
        <f>F15*1000*200*$C$4/1000</f>
        <v>22316.7264</v>
      </c>
      <c r="H15" s="71">
        <v>753</v>
      </c>
      <c r="I15" s="27">
        <f>H15*1000*200*$C$4/1000</f>
        <v>68310.955199999997</v>
      </c>
      <c r="J15" s="71"/>
      <c r="K15" s="5"/>
      <c r="L15" s="4"/>
      <c r="M15" s="71"/>
      <c r="N15" s="3"/>
      <c r="O15" s="5"/>
      <c r="P15" s="4"/>
      <c r="Q15" s="79"/>
      <c r="R15" s="3"/>
      <c r="S15" s="71"/>
      <c r="T15" s="3"/>
      <c r="U15" s="80">
        <f>15850+58</f>
        <v>15908</v>
      </c>
      <c r="V15" s="15">
        <f t="shared" si="19"/>
        <v>1443148.3072000002</v>
      </c>
      <c r="W15" s="71">
        <f>2+20+1419</f>
        <v>1441</v>
      </c>
      <c r="X15" s="15">
        <f t="shared" si="19"/>
        <v>130725.21440000001</v>
      </c>
      <c r="Y15" s="67">
        <f t="shared" si="2"/>
        <v>1793774.9232000001</v>
      </c>
      <c r="Z15" s="1" t="s">
        <v>58</v>
      </c>
    </row>
    <row r="16" spans="1:26" x14ac:dyDescent="0.25">
      <c r="A16" s="50" t="s">
        <v>21</v>
      </c>
      <c r="B16" s="102">
        <v>796</v>
      </c>
      <c r="C16" s="27">
        <f t="shared" si="3"/>
        <v>72211.846400000009</v>
      </c>
      <c r="D16" s="71">
        <v>493</v>
      </c>
      <c r="E16" s="27">
        <f t="shared" ref="E16:E21" si="21">D16*1000*200*$C$4/1000</f>
        <v>44724.171200000004</v>
      </c>
      <c r="F16" s="71">
        <v>236</v>
      </c>
      <c r="G16" s="27">
        <f t="shared" si="17"/>
        <v>21409.542399999998</v>
      </c>
      <c r="H16" s="71">
        <v>804</v>
      </c>
      <c r="I16" s="27">
        <f t="shared" ref="I16:N21" si="22">H16*1000*200*$C$4/1000</f>
        <v>72937.593599999993</v>
      </c>
      <c r="J16" s="75">
        <v>4260</v>
      </c>
      <c r="K16" s="32"/>
      <c r="L16" s="33">
        <f t="shared" ref="L16" si="23">J16*1000*200*$C$4/1000</f>
        <v>386460.38400000002</v>
      </c>
      <c r="M16" s="71">
        <v>4213</v>
      </c>
      <c r="N16" s="27">
        <f t="shared" ref="N16" si="24">M16*1000*200*$C$4/1000</f>
        <v>382196.61920000002</v>
      </c>
      <c r="O16" s="32"/>
      <c r="P16" s="33"/>
      <c r="Q16" s="79">
        <v>4098</v>
      </c>
      <c r="R16" s="27">
        <f t="shared" ref="R16" si="25">Q16*1000*200*$C$4/1000</f>
        <v>371764.00319999998</v>
      </c>
      <c r="S16" s="71">
        <f>5+125+19+1194</f>
        <v>1343</v>
      </c>
      <c r="T16" s="27">
        <f t="shared" ref="T16" si="26">S16*1000*200*$C$4/1000</f>
        <v>121834.8112</v>
      </c>
      <c r="U16" s="80"/>
      <c r="V16" s="3"/>
      <c r="W16" s="71"/>
      <c r="X16" s="3"/>
      <c r="Y16" s="67">
        <f t="shared" si="2"/>
        <v>1473538.9712</v>
      </c>
    </row>
    <row r="17" spans="1:26" x14ac:dyDescent="0.25">
      <c r="A17" s="50" t="s">
        <v>22</v>
      </c>
      <c r="B17" s="102">
        <v>863</v>
      </c>
      <c r="C17" s="27">
        <f t="shared" si="3"/>
        <v>78289.979200000002</v>
      </c>
      <c r="D17" s="71">
        <v>509</v>
      </c>
      <c r="E17" s="27">
        <f t="shared" si="21"/>
        <v>46175.6656</v>
      </c>
      <c r="F17" s="71">
        <v>282</v>
      </c>
      <c r="G17" s="27">
        <f t="shared" si="17"/>
        <v>25582.588800000001</v>
      </c>
      <c r="H17" s="71">
        <v>845</v>
      </c>
      <c r="I17" s="27">
        <f t="shared" si="22"/>
        <v>76657.047999999995</v>
      </c>
      <c r="J17" s="75">
        <v>4010</v>
      </c>
      <c r="K17" s="32"/>
      <c r="L17" s="33">
        <f t="shared" ref="L17" si="27">J17*1000*200*$C$4/1000</f>
        <v>363780.78399999999</v>
      </c>
      <c r="M17" s="71">
        <v>4178</v>
      </c>
      <c r="N17" s="27">
        <f t="shared" ref="N17" si="28">M17*1000*200*$C$4/1000</f>
        <v>379021.47519999999</v>
      </c>
      <c r="O17" s="32"/>
      <c r="P17" s="33"/>
      <c r="Q17" s="79">
        <v>3857</v>
      </c>
      <c r="R17" s="27">
        <f t="shared" ref="R17" si="29">Q17*1000*200*$C$4/1000</f>
        <v>349900.8688</v>
      </c>
      <c r="S17" s="71">
        <f>1+198+1+1053</f>
        <v>1253</v>
      </c>
      <c r="T17" s="27">
        <f t="shared" ref="T17" si="30">S17*1000*200*$C$4/1000</f>
        <v>113670.15520000001</v>
      </c>
      <c r="U17" s="80"/>
      <c r="V17" s="3"/>
      <c r="W17" s="71"/>
      <c r="X17" s="3"/>
      <c r="Y17" s="67">
        <f t="shared" si="2"/>
        <v>1433078.5647999998</v>
      </c>
    </row>
    <row r="18" spans="1:26" x14ac:dyDescent="0.25">
      <c r="A18" s="50" t="s">
        <v>23</v>
      </c>
      <c r="B18" s="102">
        <v>920</v>
      </c>
      <c r="C18" s="27">
        <f t="shared" si="3"/>
        <v>83460.928</v>
      </c>
      <c r="D18" s="71">
        <v>517</v>
      </c>
      <c r="E18" s="27">
        <f t="shared" si="21"/>
        <v>46901.412799999998</v>
      </c>
      <c r="F18" s="71">
        <v>421</v>
      </c>
      <c r="G18" s="27">
        <f t="shared" si="17"/>
        <v>38192.446400000001</v>
      </c>
      <c r="H18" s="71">
        <v>920</v>
      </c>
      <c r="I18" s="27">
        <f t="shared" si="22"/>
        <v>83460.928</v>
      </c>
      <c r="J18" s="75">
        <v>4641</v>
      </c>
      <c r="K18" s="32"/>
      <c r="L18" s="33">
        <f t="shared" ref="L18" si="31">J18*1000*200*$C$4/1000</f>
        <v>421024.0944</v>
      </c>
      <c r="M18" s="71">
        <v>4970</v>
      </c>
      <c r="N18" s="27">
        <f t="shared" ref="N18" si="32">M18*1000*200*$C$4/1000</f>
        <v>450870.44799999997</v>
      </c>
      <c r="O18" s="32"/>
      <c r="P18" s="33"/>
      <c r="Q18" s="79">
        <v>3727</v>
      </c>
      <c r="R18" s="27">
        <f t="shared" ref="R18" si="33">Q18*1000*200*$C$4/1000</f>
        <v>338107.4768</v>
      </c>
      <c r="S18" s="71">
        <f>40+233+814</f>
        <v>1087</v>
      </c>
      <c r="T18" s="27">
        <f t="shared" ref="T18" si="34">S18*1000*200*$C$4/1000</f>
        <v>98610.900800000003</v>
      </c>
      <c r="U18" s="80"/>
      <c r="V18" s="3"/>
      <c r="W18" s="71"/>
      <c r="X18" s="3"/>
      <c r="Y18" s="67">
        <f t="shared" si="2"/>
        <v>1560628.6352000001</v>
      </c>
    </row>
    <row r="19" spans="1:26" x14ac:dyDescent="0.25">
      <c r="A19" s="50" t="s">
        <v>24</v>
      </c>
      <c r="B19" s="102">
        <v>1118</v>
      </c>
      <c r="C19" s="27">
        <f t="shared" si="3"/>
        <v>101423.1712</v>
      </c>
      <c r="D19" s="71">
        <v>509</v>
      </c>
      <c r="E19" s="27">
        <f t="shared" si="21"/>
        <v>46175.6656</v>
      </c>
      <c r="F19" s="71">
        <v>551</v>
      </c>
      <c r="G19" s="27">
        <f t="shared" si="17"/>
        <v>49985.838400000001</v>
      </c>
      <c r="H19" s="71">
        <v>1002</v>
      </c>
      <c r="I19" s="27">
        <f t="shared" si="22"/>
        <v>90899.83679999999</v>
      </c>
      <c r="J19" s="75">
        <v>5207</v>
      </c>
      <c r="K19" s="32"/>
      <c r="L19" s="33">
        <f>J19*1000*200*$C$4/1000</f>
        <v>472370.70880000002</v>
      </c>
      <c r="M19" s="71">
        <v>5220</v>
      </c>
      <c r="N19" s="27">
        <f t="shared" si="22"/>
        <v>473550.04800000001</v>
      </c>
      <c r="O19" s="32"/>
      <c r="P19" s="33"/>
      <c r="Q19" s="79">
        <v>3491</v>
      </c>
      <c r="R19" s="27">
        <f t="shared" ref="R19" si="35">Q19*1000*200*$C$4/1000</f>
        <v>316697.93439999997</v>
      </c>
      <c r="S19" s="71">
        <f>121+215+775</f>
        <v>1111</v>
      </c>
      <c r="T19" s="27">
        <f t="shared" ref="T19" si="36">S19*1000*200*$C$4/1000</f>
        <v>100788.14240000001</v>
      </c>
      <c r="U19" s="80"/>
      <c r="V19" s="3"/>
      <c r="W19" s="71"/>
      <c r="X19" s="3"/>
      <c r="Y19" s="67">
        <f t="shared" si="2"/>
        <v>1651891.3455999999</v>
      </c>
    </row>
    <row r="20" spans="1:26" x14ac:dyDescent="0.25">
      <c r="A20" s="50" t="s">
        <v>25</v>
      </c>
      <c r="B20" s="102">
        <v>1138</v>
      </c>
      <c r="C20" s="27">
        <f t="shared" si="3"/>
        <v>103237.5392</v>
      </c>
      <c r="D20" s="71">
        <v>506</v>
      </c>
      <c r="E20" s="27">
        <f t="shared" si="21"/>
        <v>45903.510399999999</v>
      </c>
      <c r="F20" s="71">
        <v>585</v>
      </c>
      <c r="G20" s="27">
        <f t="shared" si="17"/>
        <v>53070.264000000003</v>
      </c>
      <c r="H20" s="71">
        <v>1111</v>
      </c>
      <c r="I20" s="27">
        <f t="shared" si="22"/>
        <v>100788.14240000001</v>
      </c>
      <c r="J20" s="75">
        <v>5760</v>
      </c>
      <c r="K20" s="32"/>
      <c r="L20" s="33">
        <f>J20*1000*200*$C$4/1000</f>
        <v>522537.984</v>
      </c>
      <c r="M20" s="71">
        <v>5628</v>
      </c>
      <c r="N20" s="27">
        <f t="shared" si="22"/>
        <v>510563.15519999998</v>
      </c>
      <c r="O20" s="32"/>
      <c r="P20" s="33"/>
      <c r="Q20" s="79">
        <v>3783</v>
      </c>
      <c r="R20" s="27">
        <f t="shared" ref="R20:T21" si="37">Q20*1000*200*$C$4/1000</f>
        <v>343187.7072</v>
      </c>
      <c r="S20" s="71">
        <f>173+259+769</f>
        <v>1201</v>
      </c>
      <c r="T20" s="27">
        <f t="shared" si="37"/>
        <v>108952.7984</v>
      </c>
      <c r="U20" s="80">
        <f>15559+259</f>
        <v>15818</v>
      </c>
      <c r="V20" s="3"/>
      <c r="W20" s="71"/>
      <c r="X20" s="3"/>
      <c r="Y20" s="67">
        <f t="shared" si="2"/>
        <v>1788241.1007999999</v>
      </c>
    </row>
    <row r="21" spans="1:26" ht="14.4" thickBot="1" x14ac:dyDescent="0.3">
      <c r="A21" s="51" t="s">
        <v>26</v>
      </c>
      <c r="B21" s="103">
        <v>1107</v>
      </c>
      <c r="C21" s="29">
        <f t="shared" si="3"/>
        <v>100425.26879999999</v>
      </c>
      <c r="D21" s="72">
        <v>439</v>
      </c>
      <c r="E21" s="29">
        <f t="shared" si="21"/>
        <v>39825.3776</v>
      </c>
      <c r="F21" s="72">
        <v>638</v>
      </c>
      <c r="G21" s="29">
        <f t="shared" si="17"/>
        <v>57878.339200000002</v>
      </c>
      <c r="H21" s="72">
        <v>1198</v>
      </c>
      <c r="I21" s="29">
        <f t="shared" si="22"/>
        <v>108680.64320000001</v>
      </c>
      <c r="J21" s="76">
        <v>6349</v>
      </c>
      <c r="K21" s="38"/>
      <c r="L21" s="39">
        <f>J21*1000*200*$C$4/1000</f>
        <v>575971.12160000007</v>
      </c>
      <c r="M21" s="77">
        <v>5778</v>
      </c>
      <c r="N21" s="47">
        <f t="shared" si="22"/>
        <v>524170.91519999999</v>
      </c>
      <c r="O21" s="45"/>
      <c r="P21" s="46"/>
      <c r="Q21" s="72">
        <v>3744</v>
      </c>
      <c r="R21" s="29">
        <f t="shared" si="37"/>
        <v>339649.68960000004</v>
      </c>
      <c r="S21" s="72">
        <f>200+284+781</f>
        <v>1265</v>
      </c>
      <c r="T21" s="29">
        <f t="shared" si="37"/>
        <v>114758.776</v>
      </c>
      <c r="U21" s="72">
        <f>16490+284</f>
        <v>16774</v>
      </c>
      <c r="V21" s="3"/>
      <c r="W21" s="81"/>
      <c r="X21" s="14"/>
      <c r="Y21" s="68">
        <f t="shared" si="2"/>
        <v>1861360.1312000002</v>
      </c>
      <c r="Z21" s="48" t="s">
        <v>75</v>
      </c>
    </row>
    <row r="22" spans="1:26" ht="14.4" thickTop="1" x14ac:dyDescent="0.25">
      <c r="A22" s="52" t="s">
        <v>27</v>
      </c>
      <c r="B22" s="100">
        <v>1088</v>
      </c>
      <c r="C22" s="56">
        <v>99000</v>
      </c>
      <c r="D22" s="73"/>
      <c r="E22" s="56">
        <v>36000</v>
      </c>
      <c r="F22" s="73"/>
      <c r="G22" s="56">
        <v>63000</v>
      </c>
      <c r="H22" s="73"/>
      <c r="I22" s="56">
        <v>106000</v>
      </c>
      <c r="J22" s="73"/>
      <c r="K22" s="57"/>
      <c r="L22" s="58">
        <v>654000</v>
      </c>
      <c r="M22" s="73"/>
      <c r="N22" s="56">
        <v>528000</v>
      </c>
      <c r="O22" s="57"/>
      <c r="P22" s="58"/>
      <c r="Q22" s="73"/>
      <c r="R22" s="56">
        <v>338000</v>
      </c>
      <c r="S22" s="73"/>
      <c r="T22" s="56">
        <f>18000+23000+71000</f>
        <v>112000</v>
      </c>
      <c r="U22" s="73"/>
      <c r="V22" s="59"/>
      <c r="W22" s="82"/>
      <c r="X22" s="59"/>
      <c r="Y22" s="69">
        <f t="shared" si="2"/>
        <v>1936000</v>
      </c>
      <c r="Z22" s="1" t="s">
        <v>74</v>
      </c>
    </row>
    <row r="23" spans="1:26" x14ac:dyDescent="0.25">
      <c r="A23" s="50" t="s">
        <v>28</v>
      </c>
      <c r="B23" s="102">
        <v>1263</v>
      </c>
      <c r="C23" s="27">
        <v>115000</v>
      </c>
      <c r="D23" s="71"/>
      <c r="E23" s="27">
        <v>38000</v>
      </c>
      <c r="F23" s="71"/>
      <c r="G23" s="27">
        <v>77000</v>
      </c>
      <c r="H23" s="71"/>
      <c r="I23" s="27">
        <v>111000</v>
      </c>
      <c r="J23" s="71"/>
      <c r="K23" s="32"/>
      <c r="L23" s="33">
        <v>581000</v>
      </c>
      <c r="M23" s="71"/>
      <c r="N23" s="27">
        <v>545000</v>
      </c>
      <c r="O23" s="32"/>
      <c r="P23" s="33"/>
      <c r="Q23" s="71"/>
      <c r="R23" s="27">
        <v>300000</v>
      </c>
      <c r="S23" s="71"/>
      <c r="T23" s="27">
        <f>29000+21000+59000</f>
        <v>109000</v>
      </c>
      <c r="U23" s="71"/>
      <c r="V23" s="7"/>
      <c r="W23" s="80"/>
      <c r="X23" s="7"/>
      <c r="Y23" s="67">
        <f t="shared" si="2"/>
        <v>1876000</v>
      </c>
    </row>
    <row r="24" spans="1:26" x14ac:dyDescent="0.25">
      <c r="A24" s="50" t="s">
        <v>29</v>
      </c>
      <c r="B24" s="102"/>
      <c r="C24" s="27">
        <v>144000</v>
      </c>
      <c r="D24" s="71"/>
      <c r="E24" s="27">
        <v>39000</v>
      </c>
      <c r="F24" s="71"/>
      <c r="G24" s="27">
        <v>82000</v>
      </c>
      <c r="H24" s="71"/>
      <c r="I24" s="27">
        <v>128000</v>
      </c>
      <c r="J24" s="71"/>
      <c r="K24" s="32"/>
      <c r="L24" s="33">
        <v>701000</v>
      </c>
      <c r="M24" s="71"/>
      <c r="N24" s="27">
        <v>662000</v>
      </c>
      <c r="O24" s="32"/>
      <c r="P24" s="33"/>
      <c r="Q24" s="71"/>
      <c r="R24" s="27">
        <v>320000</v>
      </c>
      <c r="S24" s="71"/>
      <c r="T24" s="27">
        <f>42000+22000+64000</f>
        <v>128000</v>
      </c>
      <c r="U24" s="71"/>
      <c r="V24" s="7"/>
      <c r="W24" s="80"/>
      <c r="X24" s="7"/>
      <c r="Y24" s="67">
        <f t="shared" si="2"/>
        <v>2204000</v>
      </c>
    </row>
    <row r="25" spans="1:26" x14ac:dyDescent="0.25">
      <c r="A25" s="50" t="s">
        <v>30</v>
      </c>
      <c r="B25" s="102"/>
      <c r="C25" s="27">
        <v>135000</v>
      </c>
      <c r="D25" s="71"/>
      <c r="E25" s="27">
        <v>38000</v>
      </c>
      <c r="F25" s="71"/>
      <c r="G25" s="27">
        <v>85000</v>
      </c>
      <c r="H25" s="71"/>
      <c r="I25" s="27">
        <v>130000</v>
      </c>
      <c r="J25" s="71"/>
      <c r="K25" s="32"/>
      <c r="L25" s="33">
        <v>640000</v>
      </c>
      <c r="M25" s="71"/>
      <c r="N25" s="27">
        <v>698000</v>
      </c>
      <c r="O25" s="32"/>
      <c r="P25" s="33"/>
      <c r="Q25" s="71"/>
      <c r="R25" s="27">
        <v>305000</v>
      </c>
      <c r="S25" s="71"/>
      <c r="T25" s="27">
        <f>51000+21000+64000</f>
        <v>136000</v>
      </c>
      <c r="U25" s="71"/>
      <c r="V25" s="7"/>
      <c r="W25" s="80"/>
      <c r="X25" s="7"/>
      <c r="Y25" s="67">
        <f t="shared" si="2"/>
        <v>2167000</v>
      </c>
    </row>
    <row r="26" spans="1:26" ht="16.2" x14ac:dyDescent="0.25">
      <c r="A26" s="50" t="s">
        <v>31</v>
      </c>
      <c r="B26" s="102"/>
      <c r="C26" s="27">
        <v>113000</v>
      </c>
      <c r="D26" s="71"/>
      <c r="E26" s="27">
        <v>36000</v>
      </c>
      <c r="F26" s="71"/>
      <c r="G26" s="27">
        <v>83000</v>
      </c>
      <c r="H26" s="71"/>
      <c r="I26" s="27">
        <v>128000</v>
      </c>
      <c r="J26" s="71"/>
      <c r="K26" s="60" t="s">
        <v>61</v>
      </c>
      <c r="L26" s="61">
        <v>1074000</v>
      </c>
      <c r="M26" s="78"/>
      <c r="N26" s="62">
        <v>339000</v>
      </c>
      <c r="O26" s="63"/>
      <c r="P26" s="33"/>
      <c r="Q26" s="71"/>
      <c r="R26" s="27">
        <v>367000</v>
      </c>
      <c r="S26" s="71"/>
      <c r="T26" s="27">
        <f>28000+9000+66000</f>
        <v>103000</v>
      </c>
      <c r="U26" s="71"/>
      <c r="V26" s="7"/>
      <c r="W26" s="80"/>
      <c r="X26" s="7"/>
      <c r="Y26" s="67">
        <f t="shared" si="2"/>
        <v>2243000</v>
      </c>
    </row>
    <row r="27" spans="1:26" x14ac:dyDescent="0.25">
      <c r="A27" s="52" t="s">
        <v>32</v>
      </c>
      <c r="B27" s="100"/>
      <c r="C27" s="27">
        <v>111000</v>
      </c>
      <c r="D27" s="71"/>
      <c r="E27" s="27">
        <v>36000</v>
      </c>
      <c r="F27" s="71"/>
      <c r="G27" s="27">
        <v>89000</v>
      </c>
      <c r="H27" s="71"/>
      <c r="I27" s="27">
        <v>119000</v>
      </c>
      <c r="J27" s="71"/>
      <c r="K27" s="32"/>
      <c r="L27" s="33">
        <v>889000</v>
      </c>
      <c r="M27" s="71"/>
      <c r="N27" s="27">
        <v>500000</v>
      </c>
      <c r="O27" s="32"/>
      <c r="P27" s="33"/>
      <c r="Q27" s="71"/>
      <c r="R27" s="27">
        <v>293000</v>
      </c>
      <c r="S27" s="71"/>
      <c r="T27" s="27">
        <f>47000+13000+64000</f>
        <v>124000</v>
      </c>
      <c r="U27" s="71"/>
      <c r="V27" s="7"/>
      <c r="W27" s="80"/>
      <c r="X27" s="7"/>
      <c r="Y27" s="67">
        <f t="shared" si="2"/>
        <v>2161000</v>
      </c>
    </row>
    <row r="28" spans="1:26" x14ac:dyDescent="0.25">
      <c r="A28" s="50" t="s">
        <v>33</v>
      </c>
      <c r="B28" s="102"/>
      <c r="C28" s="27">
        <v>84000</v>
      </c>
      <c r="D28" s="71"/>
      <c r="E28" s="27">
        <v>39000</v>
      </c>
      <c r="F28" s="71"/>
      <c r="G28" s="27">
        <v>102000</v>
      </c>
      <c r="H28" s="71"/>
      <c r="I28" s="27">
        <v>139000</v>
      </c>
      <c r="J28" s="71"/>
      <c r="K28" s="32"/>
      <c r="L28" s="33">
        <v>810000</v>
      </c>
      <c r="M28" s="71"/>
      <c r="N28" s="27">
        <v>546000</v>
      </c>
      <c r="O28" s="32"/>
      <c r="P28" s="33"/>
      <c r="Q28" s="71"/>
      <c r="R28" s="27">
        <v>254000</v>
      </c>
      <c r="S28" s="71"/>
      <c r="T28" s="27">
        <f>71000+14000+59000</f>
        <v>144000</v>
      </c>
      <c r="U28" s="71"/>
      <c r="V28" s="7"/>
      <c r="W28" s="80"/>
      <c r="X28" s="7"/>
      <c r="Y28" s="67">
        <f t="shared" si="2"/>
        <v>2118000</v>
      </c>
    </row>
    <row r="29" spans="1:26" x14ac:dyDescent="0.25">
      <c r="A29" s="50" t="s">
        <v>34</v>
      </c>
      <c r="B29" s="102"/>
      <c r="C29" s="27">
        <v>116000</v>
      </c>
      <c r="D29" s="71"/>
      <c r="E29" s="27">
        <v>42000</v>
      </c>
      <c r="F29" s="71"/>
      <c r="G29" s="27">
        <v>104000</v>
      </c>
      <c r="H29" s="71"/>
      <c r="I29" s="27">
        <v>153000</v>
      </c>
      <c r="J29" s="71"/>
      <c r="K29" s="32"/>
      <c r="L29" s="33">
        <v>929000</v>
      </c>
      <c r="M29" s="71"/>
      <c r="N29" s="27">
        <v>570000</v>
      </c>
      <c r="O29" s="32"/>
      <c r="P29" s="33"/>
      <c r="Q29" s="71"/>
      <c r="R29" s="27">
        <v>293000</v>
      </c>
      <c r="S29" s="71"/>
      <c r="T29" s="27">
        <f>82000+15000</f>
        <v>97000</v>
      </c>
      <c r="U29" s="71"/>
      <c r="V29" s="7"/>
      <c r="W29" s="80"/>
      <c r="X29" s="7"/>
      <c r="Y29" s="67">
        <f t="shared" si="2"/>
        <v>2304000</v>
      </c>
    </row>
    <row r="30" spans="1:26" x14ac:dyDescent="0.25">
      <c r="A30" s="50" t="s">
        <v>35</v>
      </c>
      <c r="B30" s="102"/>
      <c r="C30" s="27">
        <v>135000</v>
      </c>
      <c r="D30" s="71"/>
      <c r="E30" s="27">
        <v>48000</v>
      </c>
      <c r="F30" s="71"/>
      <c r="G30" s="27">
        <v>111000</v>
      </c>
      <c r="H30" s="71"/>
      <c r="I30" s="27">
        <v>159000</v>
      </c>
      <c r="J30" s="71"/>
      <c r="K30" s="32"/>
      <c r="L30" s="33">
        <v>895000</v>
      </c>
      <c r="M30" s="71"/>
      <c r="N30" s="27">
        <v>586000</v>
      </c>
      <c r="O30" s="32"/>
      <c r="P30" s="33"/>
      <c r="Q30" s="71"/>
      <c r="R30" s="27">
        <v>250000</v>
      </c>
      <c r="S30" s="71"/>
      <c r="T30" s="27">
        <v>74000</v>
      </c>
      <c r="U30" s="71"/>
      <c r="V30" s="7"/>
      <c r="W30" s="80"/>
      <c r="X30" s="7"/>
      <c r="Y30" s="67">
        <f t="shared" si="2"/>
        <v>2258000</v>
      </c>
    </row>
    <row r="31" spans="1:26" ht="16.2" x14ac:dyDescent="0.25">
      <c r="A31" s="50" t="s">
        <v>36</v>
      </c>
      <c r="B31" s="102"/>
      <c r="C31" s="27">
        <v>164000</v>
      </c>
      <c r="D31" s="71"/>
      <c r="E31" s="27">
        <v>49000</v>
      </c>
      <c r="F31" s="71"/>
      <c r="G31" s="27">
        <v>111000</v>
      </c>
      <c r="H31" s="71"/>
      <c r="I31" s="27">
        <v>160000</v>
      </c>
      <c r="J31" s="71"/>
      <c r="K31" s="32"/>
      <c r="L31" s="33">
        <v>915000</v>
      </c>
      <c r="M31" s="71"/>
      <c r="N31" s="27">
        <v>617000</v>
      </c>
      <c r="O31" s="60" t="s">
        <v>62</v>
      </c>
      <c r="P31" s="33">
        <v>131000</v>
      </c>
      <c r="Q31" s="71"/>
      <c r="R31" s="27">
        <v>266000</v>
      </c>
      <c r="S31" s="71"/>
      <c r="T31" s="27">
        <f>104000+14000+78000</f>
        <v>196000</v>
      </c>
      <c r="U31" s="71"/>
      <c r="V31" s="7"/>
      <c r="W31" s="80"/>
      <c r="X31" s="7"/>
      <c r="Y31" s="67">
        <f t="shared" si="2"/>
        <v>2609000</v>
      </c>
    </row>
    <row r="32" spans="1:26" x14ac:dyDescent="0.25">
      <c r="A32" s="50" t="s">
        <v>37</v>
      </c>
      <c r="B32" s="102"/>
      <c r="C32" s="27">
        <v>165000</v>
      </c>
      <c r="D32" s="71"/>
      <c r="E32" s="27">
        <v>50000</v>
      </c>
      <c r="F32" s="71"/>
      <c r="G32" s="27">
        <v>117000</v>
      </c>
      <c r="H32" s="71"/>
      <c r="I32" s="27">
        <v>162000</v>
      </c>
      <c r="J32" s="71"/>
      <c r="K32" s="32"/>
      <c r="L32" s="33">
        <v>965000</v>
      </c>
      <c r="M32" s="71"/>
      <c r="N32" s="27">
        <v>638000</v>
      </c>
      <c r="O32" s="32"/>
      <c r="P32" s="33">
        <v>163000</v>
      </c>
      <c r="Q32" s="71"/>
      <c r="R32" s="27">
        <v>278000</v>
      </c>
      <c r="S32" s="71"/>
      <c r="T32" s="27">
        <f>131000+14000+79000</f>
        <v>224000</v>
      </c>
      <c r="U32" s="71"/>
      <c r="V32" s="7"/>
      <c r="W32" s="80"/>
      <c r="X32" s="7"/>
      <c r="Y32" s="67">
        <f t="shared" si="2"/>
        <v>2762000</v>
      </c>
    </row>
    <row r="33" spans="1:25" x14ac:dyDescent="0.25">
      <c r="A33" s="50" t="s">
        <v>38</v>
      </c>
      <c r="B33" s="102"/>
      <c r="C33" s="27">
        <v>184000</v>
      </c>
      <c r="D33" s="71"/>
      <c r="E33" s="27">
        <v>56000</v>
      </c>
      <c r="F33" s="71"/>
      <c r="G33" s="27">
        <v>136000</v>
      </c>
      <c r="H33" s="71"/>
      <c r="I33" s="27">
        <v>171000</v>
      </c>
      <c r="J33" s="71"/>
      <c r="K33" s="32"/>
      <c r="L33" s="33">
        <v>1017000</v>
      </c>
      <c r="M33" s="71"/>
      <c r="N33" s="27">
        <v>699000</v>
      </c>
      <c r="O33" s="32"/>
      <c r="P33" s="33">
        <v>211000</v>
      </c>
      <c r="Q33" s="71"/>
      <c r="R33" s="27">
        <v>293000</v>
      </c>
      <c r="S33" s="71"/>
      <c r="T33" s="27">
        <f>30000+3000</f>
        <v>33000</v>
      </c>
      <c r="U33" s="71"/>
      <c r="V33" s="7"/>
      <c r="W33" s="80"/>
      <c r="X33" s="7"/>
      <c r="Y33" s="67">
        <f t="shared" si="2"/>
        <v>2800000</v>
      </c>
    </row>
    <row r="34" spans="1:25" x14ac:dyDescent="0.25">
      <c r="A34" s="53" t="s">
        <v>39</v>
      </c>
      <c r="B34" s="102"/>
      <c r="C34" s="3" t="s">
        <v>82</v>
      </c>
      <c r="D34" s="71"/>
      <c r="E34" s="27">
        <v>55000</v>
      </c>
      <c r="F34" s="71"/>
      <c r="G34" s="27">
        <v>146000</v>
      </c>
      <c r="H34" s="71"/>
      <c r="I34" s="27">
        <v>172000</v>
      </c>
      <c r="J34" s="71"/>
      <c r="K34" s="32"/>
      <c r="L34" s="33">
        <v>872000</v>
      </c>
      <c r="M34" s="71"/>
      <c r="N34" s="27">
        <v>742000</v>
      </c>
      <c r="O34" s="32"/>
      <c r="P34" s="33">
        <v>232000</v>
      </c>
      <c r="Q34" s="71"/>
      <c r="R34" s="27">
        <v>280000</v>
      </c>
      <c r="S34" s="71"/>
      <c r="T34" s="27">
        <v>34000</v>
      </c>
      <c r="U34" s="71"/>
      <c r="V34" s="7"/>
      <c r="W34" s="80"/>
      <c r="X34" s="7"/>
      <c r="Y34" s="67">
        <f>E34+G34+I34+L34+N34+P34+R34+T34+V34+X34</f>
        <v>2533000</v>
      </c>
    </row>
    <row r="35" spans="1:25" x14ac:dyDescent="0.25">
      <c r="A35" s="53" t="s">
        <v>40</v>
      </c>
      <c r="B35" s="102"/>
      <c r="C35" s="3"/>
      <c r="D35" s="71"/>
      <c r="E35" s="27">
        <v>53000</v>
      </c>
      <c r="F35" s="71"/>
      <c r="G35" s="27">
        <v>161000</v>
      </c>
      <c r="H35" s="71"/>
      <c r="I35" s="27">
        <v>168000</v>
      </c>
      <c r="J35" s="71"/>
      <c r="K35" s="32"/>
      <c r="L35" s="33">
        <v>915000</v>
      </c>
      <c r="M35" s="71"/>
      <c r="N35" s="27">
        <v>809000</v>
      </c>
      <c r="O35" s="32"/>
      <c r="P35" s="33">
        <v>249000</v>
      </c>
      <c r="Q35" s="71"/>
      <c r="R35" s="27">
        <v>283000</v>
      </c>
      <c r="S35" s="71"/>
      <c r="T35" s="27">
        <v>14000</v>
      </c>
      <c r="U35" s="71"/>
      <c r="V35" s="7"/>
      <c r="W35" s="80"/>
      <c r="X35" s="7"/>
      <c r="Y35" s="67">
        <f t="shared" ref="Y35:Y52" si="38">C35+E35+G35+I35+L35+N35+P35+R35+T35+V35+X35</f>
        <v>2652000</v>
      </c>
    </row>
    <row r="36" spans="1:25" x14ac:dyDescent="0.25">
      <c r="A36" s="54" t="s">
        <v>41</v>
      </c>
      <c r="B36" s="104"/>
      <c r="C36" s="3"/>
      <c r="D36" s="71"/>
      <c r="E36" s="27">
        <v>50000</v>
      </c>
      <c r="F36" s="71"/>
      <c r="G36" s="27">
        <v>159000</v>
      </c>
      <c r="H36" s="71"/>
      <c r="I36" s="27">
        <v>174000</v>
      </c>
      <c r="J36" s="71"/>
      <c r="K36" s="32"/>
      <c r="L36" s="33">
        <v>834000</v>
      </c>
      <c r="M36" s="71"/>
      <c r="N36" s="34">
        <v>761000</v>
      </c>
      <c r="O36" s="35"/>
      <c r="P36" s="33">
        <v>269000</v>
      </c>
      <c r="Q36" s="71"/>
      <c r="R36" s="27">
        <v>276000</v>
      </c>
      <c r="S36" s="71"/>
      <c r="T36" s="27">
        <v>12000</v>
      </c>
      <c r="U36" s="71"/>
      <c r="V36" s="7"/>
      <c r="W36" s="80"/>
      <c r="X36" s="7"/>
      <c r="Y36" s="67">
        <f t="shared" si="38"/>
        <v>2535000</v>
      </c>
    </row>
    <row r="37" spans="1:25" x14ac:dyDescent="0.25">
      <c r="A37" s="54" t="s">
        <v>42</v>
      </c>
      <c r="B37" s="104"/>
      <c r="C37" s="3"/>
      <c r="D37" s="71"/>
      <c r="E37" s="27">
        <v>50000</v>
      </c>
      <c r="F37" s="71"/>
      <c r="G37" s="27">
        <v>154000</v>
      </c>
      <c r="H37" s="71"/>
      <c r="I37" s="27">
        <v>160000</v>
      </c>
      <c r="J37" s="71"/>
      <c r="K37" s="32"/>
      <c r="L37" s="33">
        <v>778000</v>
      </c>
      <c r="M37" s="71"/>
      <c r="N37" s="27">
        <v>798000</v>
      </c>
      <c r="O37" s="32"/>
      <c r="P37" s="33">
        <v>306000</v>
      </c>
      <c r="Q37" s="71"/>
      <c r="R37" s="27">
        <v>257000</v>
      </c>
      <c r="S37" s="71"/>
      <c r="T37" s="27">
        <f>19000+3000</f>
        <v>22000</v>
      </c>
      <c r="U37" s="71"/>
      <c r="V37" s="7"/>
      <c r="W37" s="80"/>
      <c r="X37" s="7"/>
      <c r="Y37" s="67">
        <f t="shared" si="38"/>
        <v>2525000</v>
      </c>
    </row>
    <row r="38" spans="1:25" x14ac:dyDescent="0.25">
      <c r="A38" s="54" t="s">
        <v>43</v>
      </c>
      <c r="B38" s="104"/>
      <c r="C38" s="3"/>
      <c r="D38" s="71"/>
      <c r="E38" s="27">
        <v>49000</v>
      </c>
      <c r="F38" s="71"/>
      <c r="G38" s="27">
        <v>148000</v>
      </c>
      <c r="H38" s="71"/>
      <c r="I38" s="27">
        <v>165000</v>
      </c>
      <c r="J38" s="71"/>
      <c r="K38" s="32"/>
      <c r="L38" s="33">
        <v>775000</v>
      </c>
      <c r="M38" s="71"/>
      <c r="N38" s="27">
        <v>927000</v>
      </c>
      <c r="O38" s="32"/>
      <c r="P38" s="33">
        <v>334000</v>
      </c>
      <c r="Q38" s="71"/>
      <c r="R38" s="27">
        <v>246000</v>
      </c>
      <c r="S38" s="71"/>
      <c r="T38" s="27">
        <f>3000+9000</f>
        <v>12000</v>
      </c>
      <c r="U38" s="71"/>
      <c r="V38" s="7"/>
      <c r="W38" s="80"/>
      <c r="X38" s="7"/>
      <c r="Y38" s="67">
        <f t="shared" si="38"/>
        <v>2656000</v>
      </c>
    </row>
    <row r="39" spans="1:25" x14ac:dyDescent="0.25">
      <c r="A39" s="54" t="s">
        <v>44</v>
      </c>
      <c r="B39" s="104"/>
      <c r="C39" s="3"/>
      <c r="D39" s="71"/>
      <c r="E39" s="27">
        <v>43000</v>
      </c>
      <c r="F39" s="71"/>
      <c r="G39" s="27">
        <v>146000</v>
      </c>
      <c r="H39" s="71"/>
      <c r="I39" s="27">
        <v>165000</v>
      </c>
      <c r="J39" s="71"/>
      <c r="K39" s="32"/>
      <c r="L39" s="33">
        <v>779000</v>
      </c>
      <c r="M39" s="71"/>
      <c r="N39" s="27">
        <v>931000</v>
      </c>
      <c r="O39" s="32"/>
      <c r="P39" s="33">
        <v>295000</v>
      </c>
      <c r="Q39" s="71"/>
      <c r="R39" s="27">
        <v>255000</v>
      </c>
      <c r="S39" s="71"/>
      <c r="T39" s="27">
        <f>11000+4000</f>
        <v>15000</v>
      </c>
      <c r="U39" s="71"/>
      <c r="V39" s="7"/>
      <c r="W39" s="80"/>
      <c r="X39" s="7"/>
      <c r="Y39" s="67">
        <f t="shared" si="38"/>
        <v>2629000</v>
      </c>
    </row>
    <row r="40" spans="1:25" x14ac:dyDescent="0.25">
      <c r="A40" s="54" t="s">
        <v>45</v>
      </c>
      <c r="B40" s="104"/>
      <c r="C40" s="3"/>
      <c r="D40" s="71"/>
      <c r="E40" s="27">
        <v>36000</v>
      </c>
      <c r="F40" s="71"/>
      <c r="G40" s="27">
        <v>144000</v>
      </c>
      <c r="H40" s="71"/>
      <c r="I40" s="27">
        <v>152000</v>
      </c>
      <c r="J40" s="71"/>
      <c r="K40" s="32"/>
      <c r="L40" s="64">
        <v>735000</v>
      </c>
      <c r="M40" s="71"/>
      <c r="N40" s="27">
        <v>854000</v>
      </c>
      <c r="O40" s="32"/>
      <c r="P40" s="33">
        <v>272000</v>
      </c>
      <c r="Q40" s="71"/>
      <c r="R40" s="27">
        <v>207000</v>
      </c>
      <c r="S40" s="71"/>
      <c r="T40" s="27">
        <f>6000+12000</f>
        <v>18000</v>
      </c>
      <c r="U40" s="71"/>
      <c r="V40" s="7"/>
      <c r="W40" s="80"/>
      <c r="X40" s="7"/>
      <c r="Y40" s="67">
        <f t="shared" si="38"/>
        <v>2418000</v>
      </c>
    </row>
    <row r="41" spans="1:25" x14ac:dyDescent="0.25">
      <c r="A41" s="54" t="s">
        <v>46</v>
      </c>
      <c r="B41" s="104"/>
      <c r="C41" s="3"/>
      <c r="D41" s="71"/>
      <c r="E41" s="27">
        <v>37000</v>
      </c>
      <c r="F41" s="71"/>
      <c r="G41" s="27">
        <v>130000</v>
      </c>
      <c r="H41" s="71"/>
      <c r="I41" s="27">
        <v>151000</v>
      </c>
      <c r="J41" s="71"/>
      <c r="K41" s="32"/>
      <c r="L41" s="33">
        <v>749000</v>
      </c>
      <c r="M41" s="71"/>
      <c r="N41" s="27">
        <v>900000</v>
      </c>
      <c r="O41" s="32"/>
      <c r="P41" s="33">
        <v>293000</v>
      </c>
      <c r="Q41" s="71"/>
      <c r="R41" s="27">
        <v>227000</v>
      </c>
      <c r="S41" s="71"/>
      <c r="T41" s="27">
        <f>10000+2000</f>
        <v>12000</v>
      </c>
      <c r="U41" s="71"/>
      <c r="V41" s="3"/>
      <c r="W41" s="71"/>
      <c r="X41" s="3"/>
      <c r="Y41" s="67">
        <f t="shared" si="38"/>
        <v>2499000</v>
      </c>
    </row>
    <row r="42" spans="1:25" x14ac:dyDescent="0.25">
      <c r="A42" s="54" t="s">
        <v>47</v>
      </c>
      <c r="B42" s="104"/>
      <c r="C42" s="3"/>
      <c r="D42" s="71"/>
      <c r="E42" s="27">
        <v>31000</v>
      </c>
      <c r="F42" s="71"/>
      <c r="G42" s="27">
        <v>134000</v>
      </c>
      <c r="H42" s="71"/>
      <c r="I42" s="27">
        <v>122000</v>
      </c>
      <c r="J42" s="71"/>
      <c r="K42" s="32"/>
      <c r="L42" s="33">
        <v>709000</v>
      </c>
      <c r="M42" s="71"/>
      <c r="N42" s="27">
        <v>832000</v>
      </c>
      <c r="O42" s="32"/>
      <c r="P42" s="33">
        <v>284000</v>
      </c>
      <c r="Q42" s="71"/>
      <c r="R42" s="27">
        <v>219000</v>
      </c>
      <c r="S42" s="71"/>
      <c r="T42" s="27">
        <f>3000+11000</f>
        <v>14000</v>
      </c>
      <c r="U42" s="71"/>
      <c r="V42" s="3"/>
      <c r="W42" s="71"/>
      <c r="X42" s="3"/>
      <c r="Y42" s="67">
        <f t="shared" si="38"/>
        <v>2345000</v>
      </c>
    </row>
    <row r="43" spans="1:25" x14ac:dyDescent="0.25">
      <c r="A43" s="54" t="s">
        <v>48</v>
      </c>
      <c r="B43" s="104"/>
      <c r="C43" s="3"/>
      <c r="D43" s="71"/>
      <c r="E43" s="27">
        <v>27000</v>
      </c>
      <c r="F43" s="71"/>
      <c r="G43" s="27">
        <v>125000</v>
      </c>
      <c r="H43" s="71"/>
      <c r="I43" s="27">
        <v>128000</v>
      </c>
      <c r="J43" s="71"/>
      <c r="K43" s="32"/>
      <c r="L43" s="33">
        <v>668000</v>
      </c>
      <c r="M43" s="71"/>
      <c r="N43" s="27">
        <v>870000</v>
      </c>
      <c r="O43" s="32"/>
      <c r="P43" s="33">
        <v>334000</v>
      </c>
      <c r="Q43" s="71"/>
      <c r="R43" s="27">
        <v>215000</v>
      </c>
      <c r="S43" s="71"/>
      <c r="T43" s="27">
        <f>2000+10000</f>
        <v>12000</v>
      </c>
      <c r="U43" s="71"/>
      <c r="V43" s="3"/>
      <c r="W43" s="71"/>
      <c r="X43" s="3"/>
      <c r="Y43" s="67">
        <f t="shared" si="38"/>
        <v>2379000</v>
      </c>
    </row>
    <row r="44" spans="1:25" x14ac:dyDescent="0.25">
      <c r="A44" s="54" t="s">
        <v>49</v>
      </c>
      <c r="B44" s="104"/>
      <c r="C44" s="3"/>
      <c r="D44" s="71"/>
      <c r="E44" s="27">
        <v>22000</v>
      </c>
      <c r="F44" s="71"/>
      <c r="G44" s="27">
        <v>143000</v>
      </c>
      <c r="H44" s="71"/>
      <c r="I44" s="27">
        <v>117000</v>
      </c>
      <c r="J44" s="71"/>
      <c r="K44" s="32"/>
      <c r="L44" s="33">
        <v>568000</v>
      </c>
      <c r="M44" s="71"/>
      <c r="N44" s="27">
        <v>861000</v>
      </c>
      <c r="O44" s="32"/>
      <c r="P44" s="33">
        <v>348000</v>
      </c>
      <c r="Q44" s="71"/>
      <c r="R44" s="27">
        <v>193000</v>
      </c>
      <c r="S44" s="71"/>
      <c r="T44" s="27">
        <f>9000+8000</f>
        <v>17000</v>
      </c>
      <c r="U44" s="71"/>
      <c r="V44" s="3"/>
      <c r="W44" s="71"/>
      <c r="X44" s="3"/>
      <c r="Y44" s="67">
        <f t="shared" si="38"/>
        <v>2269000</v>
      </c>
    </row>
    <row r="45" spans="1:25" x14ac:dyDescent="0.25">
      <c r="A45" s="54" t="s">
        <v>50</v>
      </c>
      <c r="B45" s="104"/>
      <c r="C45" s="3"/>
      <c r="D45" s="71"/>
      <c r="E45" s="27">
        <v>21000</v>
      </c>
      <c r="F45" s="71"/>
      <c r="G45" s="27">
        <v>155000</v>
      </c>
      <c r="H45" s="71"/>
      <c r="I45" s="27">
        <v>116000</v>
      </c>
      <c r="J45" s="71"/>
      <c r="K45" s="32"/>
      <c r="L45" s="33">
        <v>529000</v>
      </c>
      <c r="M45" s="71"/>
      <c r="N45" s="27">
        <v>902000</v>
      </c>
      <c r="O45" s="32"/>
      <c r="P45" s="33">
        <v>385000</v>
      </c>
      <c r="Q45" s="71"/>
      <c r="R45" s="27">
        <v>176000</v>
      </c>
      <c r="S45" s="71"/>
      <c r="T45" s="27">
        <f>2000+8000</f>
        <v>10000</v>
      </c>
      <c r="U45" s="71"/>
      <c r="V45" s="3"/>
      <c r="W45" s="71"/>
      <c r="X45" s="3"/>
      <c r="Y45" s="67">
        <f t="shared" si="38"/>
        <v>2294000</v>
      </c>
    </row>
    <row r="46" spans="1:25" x14ac:dyDescent="0.25">
      <c r="A46" s="54" t="s">
        <v>51</v>
      </c>
      <c r="B46" s="104"/>
      <c r="C46" s="3"/>
      <c r="D46" s="71"/>
      <c r="E46" s="27">
        <v>22000</v>
      </c>
      <c r="F46" s="71"/>
      <c r="G46" s="27">
        <v>164000</v>
      </c>
      <c r="H46" s="71"/>
      <c r="I46" s="27">
        <v>120000</v>
      </c>
      <c r="J46" s="71"/>
      <c r="K46" s="32"/>
      <c r="L46" s="33">
        <v>507000</v>
      </c>
      <c r="M46" s="71"/>
      <c r="N46" s="27">
        <v>930000</v>
      </c>
      <c r="O46" s="32"/>
      <c r="P46" s="33">
        <v>415000</v>
      </c>
      <c r="Q46" s="71"/>
      <c r="R46" s="27">
        <v>178000</v>
      </c>
      <c r="S46" s="71"/>
      <c r="T46" s="27">
        <f>15000+8000</f>
        <v>23000</v>
      </c>
      <c r="U46" s="71"/>
      <c r="V46" s="3"/>
      <c r="W46" s="71"/>
      <c r="X46" s="3"/>
      <c r="Y46" s="67">
        <f t="shared" si="38"/>
        <v>2359000</v>
      </c>
    </row>
    <row r="47" spans="1:25" x14ac:dyDescent="0.25">
      <c r="A47" s="54" t="s">
        <v>52</v>
      </c>
      <c r="B47" s="104"/>
      <c r="C47" s="3"/>
      <c r="D47" s="71"/>
      <c r="E47" s="27">
        <v>20000</v>
      </c>
      <c r="F47" s="71"/>
      <c r="G47" s="27">
        <v>184000</v>
      </c>
      <c r="H47" s="71"/>
      <c r="I47" s="27">
        <v>122000</v>
      </c>
      <c r="J47" s="71"/>
      <c r="K47" s="32"/>
      <c r="L47" s="33">
        <v>515000</v>
      </c>
      <c r="M47" s="71"/>
      <c r="N47" s="27">
        <v>954000</v>
      </c>
      <c r="O47" s="32"/>
      <c r="P47" s="33">
        <v>447000</v>
      </c>
      <c r="Q47" s="71"/>
      <c r="R47" s="27">
        <v>176000</v>
      </c>
      <c r="S47" s="71"/>
      <c r="T47" s="27">
        <f>8000+9000</f>
        <v>17000</v>
      </c>
      <c r="U47" s="71"/>
      <c r="V47" s="3"/>
      <c r="W47" s="71"/>
      <c r="X47" s="3"/>
      <c r="Y47" s="67">
        <f t="shared" si="38"/>
        <v>2435000</v>
      </c>
    </row>
    <row r="48" spans="1:25" x14ac:dyDescent="0.25">
      <c r="A48" s="54" t="s">
        <v>53</v>
      </c>
      <c r="B48" s="104"/>
      <c r="C48" s="3"/>
      <c r="D48" s="71"/>
      <c r="E48" s="27">
        <v>22000</v>
      </c>
      <c r="F48" s="71"/>
      <c r="G48" s="27">
        <v>185000</v>
      </c>
      <c r="H48" s="71"/>
      <c r="I48" s="27">
        <v>128000</v>
      </c>
      <c r="J48" s="71"/>
      <c r="K48" s="32"/>
      <c r="L48" s="33">
        <v>592000</v>
      </c>
      <c r="M48" s="71"/>
      <c r="N48" s="27">
        <v>963000</v>
      </c>
      <c r="O48" s="32"/>
      <c r="P48" s="33">
        <v>415000</v>
      </c>
      <c r="Q48" s="71"/>
      <c r="R48" s="27">
        <v>200000</v>
      </c>
      <c r="S48" s="71"/>
      <c r="T48" s="27">
        <f>10000+3000</f>
        <v>13000</v>
      </c>
      <c r="U48" s="71"/>
      <c r="V48" s="7"/>
      <c r="W48" s="80"/>
      <c r="X48" s="7"/>
      <c r="Y48" s="67">
        <f t="shared" si="38"/>
        <v>2518000</v>
      </c>
    </row>
    <row r="49" spans="1:26" x14ac:dyDescent="0.25">
      <c r="A49" s="55" t="s">
        <v>54</v>
      </c>
      <c r="B49" s="105"/>
      <c r="C49" s="3"/>
      <c r="D49" s="71"/>
      <c r="E49" s="27">
        <v>24000</v>
      </c>
      <c r="F49" s="71"/>
      <c r="G49" s="27">
        <v>176000</v>
      </c>
      <c r="H49" s="71"/>
      <c r="I49" s="27">
        <v>127000</v>
      </c>
      <c r="J49" s="71"/>
      <c r="K49" s="32"/>
      <c r="L49" s="33">
        <v>620000</v>
      </c>
      <c r="M49" s="71"/>
      <c r="N49" s="27">
        <v>971000</v>
      </c>
      <c r="O49" s="32"/>
      <c r="P49" s="33">
        <v>448000</v>
      </c>
      <c r="Q49" s="71"/>
      <c r="R49" s="27">
        <v>173000</v>
      </c>
      <c r="S49" s="71"/>
      <c r="T49" s="27">
        <f>9000+2000</f>
        <v>11000</v>
      </c>
      <c r="U49" s="71"/>
      <c r="V49" s="7"/>
      <c r="W49" s="80"/>
      <c r="X49" s="7"/>
      <c r="Y49" s="67">
        <f t="shared" si="38"/>
        <v>2550000</v>
      </c>
    </row>
    <row r="50" spans="1:26" x14ac:dyDescent="0.25">
      <c r="A50" s="55" t="s">
        <v>55</v>
      </c>
      <c r="B50" s="105"/>
      <c r="C50" s="3"/>
      <c r="D50" s="71"/>
      <c r="E50" s="27">
        <v>29000</v>
      </c>
      <c r="F50" s="71"/>
      <c r="G50" s="27">
        <v>141000</v>
      </c>
      <c r="H50" s="71"/>
      <c r="I50" s="27">
        <v>105000</v>
      </c>
      <c r="J50" s="71"/>
      <c r="K50" s="32"/>
      <c r="L50" s="33">
        <v>592000</v>
      </c>
      <c r="M50" s="71"/>
      <c r="N50" s="27">
        <v>945000</v>
      </c>
      <c r="O50" s="32"/>
      <c r="P50" s="33">
        <v>493000</v>
      </c>
      <c r="Q50" s="71"/>
      <c r="R50" s="27">
        <v>112000</v>
      </c>
      <c r="S50" s="71"/>
      <c r="T50" s="27">
        <f>3000+8000</f>
        <v>11000</v>
      </c>
      <c r="U50" s="71"/>
      <c r="V50" s="7"/>
      <c r="W50" s="80"/>
      <c r="X50" s="7"/>
      <c r="Y50" s="67">
        <f t="shared" si="38"/>
        <v>2428000</v>
      </c>
    </row>
    <row r="51" spans="1:26" x14ac:dyDescent="0.25">
      <c r="A51" s="55" t="s">
        <v>56</v>
      </c>
      <c r="B51" s="105"/>
      <c r="C51" s="3"/>
      <c r="D51" s="71"/>
      <c r="E51" s="27">
        <v>20000</v>
      </c>
      <c r="F51" s="71"/>
      <c r="G51" s="27">
        <v>141000</v>
      </c>
      <c r="H51" s="71"/>
      <c r="I51" s="27">
        <v>115000</v>
      </c>
      <c r="J51" s="71"/>
      <c r="K51" s="32"/>
      <c r="L51" s="33">
        <v>548000</v>
      </c>
      <c r="M51" s="71"/>
      <c r="N51" s="27">
        <v>936000</v>
      </c>
      <c r="O51" s="32"/>
      <c r="P51" s="33">
        <v>508000</v>
      </c>
      <c r="Q51" s="71"/>
      <c r="R51" s="27">
        <v>117000</v>
      </c>
      <c r="S51" s="71"/>
      <c r="T51" s="27">
        <f>10000+9000</f>
        <v>19000</v>
      </c>
      <c r="U51" s="71"/>
      <c r="V51" s="7"/>
      <c r="W51" s="80"/>
      <c r="X51" s="7"/>
      <c r="Y51" s="67">
        <f t="shared" si="38"/>
        <v>2404000</v>
      </c>
      <c r="Z51" s="20"/>
    </row>
    <row r="52" spans="1:26" ht="14.4" thickBot="1" x14ac:dyDescent="0.3">
      <c r="A52" s="106" t="s">
        <v>57</v>
      </c>
      <c r="B52" s="107"/>
      <c r="C52" s="11"/>
      <c r="D52" s="74"/>
      <c r="E52" s="28">
        <v>20000</v>
      </c>
      <c r="F52" s="74"/>
      <c r="G52" s="28">
        <v>101000</v>
      </c>
      <c r="H52" s="74"/>
      <c r="I52" s="28">
        <v>105000</v>
      </c>
      <c r="J52" s="74"/>
      <c r="K52" s="36"/>
      <c r="L52" s="37">
        <v>461000</v>
      </c>
      <c r="M52" s="74"/>
      <c r="N52" s="28">
        <v>968000</v>
      </c>
      <c r="O52" s="36"/>
      <c r="P52" s="37">
        <v>623000</v>
      </c>
      <c r="Q52" s="74"/>
      <c r="R52" s="28">
        <v>77000</v>
      </c>
      <c r="S52" s="74"/>
      <c r="T52" s="28">
        <f>12000+8000</f>
        <v>20000</v>
      </c>
      <c r="U52" s="74"/>
      <c r="V52" s="12"/>
      <c r="W52" s="108"/>
      <c r="X52" s="16"/>
      <c r="Y52" s="109">
        <f t="shared" si="38"/>
        <v>2375000</v>
      </c>
      <c r="Z52" s="65"/>
    </row>
    <row r="53" spans="1:26" ht="18.600000000000001" thickBot="1" x14ac:dyDescent="0.4">
      <c r="A53" s="295" t="s">
        <v>72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7"/>
      <c r="Z53" s="20"/>
    </row>
    <row r="54" spans="1:26" x14ac:dyDescent="0.25">
      <c r="A54" s="110" t="s">
        <v>68</v>
      </c>
      <c r="B54" s="100"/>
      <c r="C54" s="26">
        <v>1305565</v>
      </c>
      <c r="D54" s="83"/>
      <c r="E54" s="26">
        <v>8894</v>
      </c>
      <c r="F54" s="111"/>
      <c r="G54" s="26">
        <v>47392</v>
      </c>
      <c r="H54" s="83"/>
      <c r="I54" s="26">
        <v>107965</v>
      </c>
      <c r="J54" s="83"/>
      <c r="K54" s="30"/>
      <c r="L54" s="31">
        <v>28005</v>
      </c>
      <c r="M54" s="83"/>
      <c r="N54" s="26">
        <v>401344</v>
      </c>
      <c r="O54" s="30"/>
      <c r="P54" s="31">
        <v>2275099</v>
      </c>
      <c r="Q54" s="83"/>
      <c r="R54" s="26">
        <v>12290</v>
      </c>
      <c r="S54" s="83"/>
      <c r="T54" s="26">
        <v>90475</v>
      </c>
      <c r="U54" s="111"/>
      <c r="V54" s="112"/>
      <c r="W54" s="113"/>
      <c r="X54" s="112"/>
      <c r="Y54" s="69">
        <f>C54+E54+G54+I54+L54+N54+P54+R54+T54+V54+X54</f>
        <v>4277029</v>
      </c>
    </row>
    <row r="55" spans="1:26" x14ac:dyDescent="0.25">
      <c r="A55" s="129" t="s">
        <v>69</v>
      </c>
      <c r="B55" s="101"/>
      <c r="C55" s="28">
        <v>1430700</v>
      </c>
      <c r="D55" s="74"/>
      <c r="E55" s="28">
        <v>8727</v>
      </c>
      <c r="F55" s="114"/>
      <c r="G55" s="28">
        <v>60423</v>
      </c>
      <c r="H55" s="74"/>
      <c r="I55" s="28">
        <v>112676</v>
      </c>
      <c r="J55" s="74"/>
      <c r="K55" s="36"/>
      <c r="L55" s="37">
        <v>37556</v>
      </c>
      <c r="M55" s="74"/>
      <c r="N55" s="28">
        <v>357886</v>
      </c>
      <c r="O55" s="36"/>
      <c r="P55" s="37">
        <v>2388000</v>
      </c>
      <c r="Q55" s="114"/>
      <c r="R55" s="115">
        <v>10376</v>
      </c>
      <c r="S55" s="74"/>
      <c r="T55" s="115">
        <v>113303</v>
      </c>
      <c r="U55" s="114"/>
      <c r="V55" s="116"/>
      <c r="W55" s="117"/>
      <c r="X55" s="118"/>
      <c r="Y55" s="109">
        <f>C55+E55+G55+I55+L55+N55+P55+R55+T55+V55+X55</f>
        <v>4519647</v>
      </c>
    </row>
    <row r="56" spans="1:26" ht="14.4" thickBot="1" x14ac:dyDescent="0.3">
      <c r="A56" s="129" t="s">
        <v>135</v>
      </c>
      <c r="B56" s="101"/>
      <c r="C56" s="28">
        <v>912098</v>
      </c>
      <c r="D56" s="74"/>
      <c r="E56" s="28">
        <v>5172</v>
      </c>
      <c r="F56" s="114"/>
      <c r="G56" s="28">
        <v>41133</v>
      </c>
      <c r="H56" s="74"/>
      <c r="I56" s="28">
        <v>74276</v>
      </c>
      <c r="J56" s="74"/>
      <c r="K56" s="36"/>
      <c r="L56" s="37">
        <v>22459</v>
      </c>
      <c r="M56" s="74"/>
      <c r="N56" s="28">
        <v>227326</v>
      </c>
      <c r="O56" s="36"/>
      <c r="P56" s="37">
        <v>1511950</v>
      </c>
      <c r="Q56" s="114"/>
      <c r="R56" s="115">
        <v>4949</v>
      </c>
      <c r="S56" s="74"/>
      <c r="T56" s="115">
        <v>68863</v>
      </c>
      <c r="U56" s="114"/>
      <c r="V56" s="116"/>
      <c r="W56" s="117"/>
      <c r="X56" s="118"/>
      <c r="Y56" s="109">
        <f>C56+E56+G56+I56+L56+N56+P56+R56+T56+V56+X56</f>
        <v>2868226</v>
      </c>
    </row>
    <row r="57" spans="1:26" ht="14.4" thickBot="1" x14ac:dyDescent="0.3">
      <c r="A57" s="119" t="s">
        <v>81</v>
      </c>
      <c r="B57" s="120"/>
      <c r="C57" s="121">
        <f>SUM(C5:C55)</f>
        <v>5335545.4783999994</v>
      </c>
      <c r="D57" s="122"/>
      <c r="E57" s="121">
        <f t="shared" ref="E57:X57" si="39">SUM(E5:E55)</f>
        <v>2049378.6768</v>
      </c>
      <c r="F57" s="122"/>
      <c r="G57" s="121">
        <f t="shared" si="39"/>
        <v>4532915.1295999996</v>
      </c>
      <c r="H57" s="122"/>
      <c r="I57" s="121">
        <f t="shared" si="39"/>
        <v>5662920.9456000002</v>
      </c>
      <c r="J57" s="130"/>
      <c r="K57" s="132"/>
      <c r="L57" s="133">
        <f t="shared" si="39"/>
        <v>25623706.0768</v>
      </c>
      <c r="M57" s="131"/>
      <c r="N57" s="121">
        <f t="shared" si="39"/>
        <v>27261602.660800003</v>
      </c>
      <c r="O57" s="127"/>
      <c r="P57" s="128">
        <f t="shared" si="39"/>
        <v>12118099</v>
      </c>
      <c r="Q57" s="122"/>
      <c r="R57" s="121">
        <f t="shared" si="39"/>
        <v>9505973.6799999997</v>
      </c>
      <c r="S57" s="122"/>
      <c r="T57" s="121">
        <f t="shared" si="39"/>
        <v>2648393.5839999998</v>
      </c>
      <c r="U57" s="122"/>
      <c r="V57" s="121">
        <f t="shared" si="39"/>
        <v>13383141.241599999</v>
      </c>
      <c r="W57" s="122"/>
      <c r="X57" s="121">
        <f t="shared" si="39"/>
        <v>1515813.7456</v>
      </c>
      <c r="Y57" s="123">
        <f>SUM(Y5:Y55)</f>
        <v>109637490.21920002</v>
      </c>
      <c r="Z57" s="20">
        <f>SUM(C57:X57)</f>
        <v>109637490.2192</v>
      </c>
    </row>
    <row r="58" spans="1:26" x14ac:dyDescent="0.25">
      <c r="A58" s="44" t="s">
        <v>64</v>
      </c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3"/>
      <c r="W58" s="43"/>
      <c r="X58" s="43"/>
      <c r="Y58" s="40"/>
    </row>
    <row r="59" spans="1:26" x14ac:dyDescent="0.25">
      <c r="A59" s="44" t="s">
        <v>59</v>
      </c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3"/>
      <c r="W59" s="43"/>
      <c r="X59" s="43"/>
      <c r="Y59" s="40"/>
    </row>
    <row r="60" spans="1:26" ht="37.5" customHeight="1" x14ac:dyDescent="0.25">
      <c r="A60" s="289" t="s">
        <v>63</v>
      </c>
      <c r="B60" s="289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89"/>
      <c r="T60" s="289"/>
      <c r="U60" s="289"/>
      <c r="V60" s="289"/>
      <c r="W60" s="289"/>
      <c r="X60" s="289"/>
      <c r="Y60" s="40"/>
    </row>
    <row r="61" spans="1:26" ht="15.75" customHeight="1" x14ac:dyDescent="0.25">
      <c r="A61" s="41" t="s">
        <v>65</v>
      </c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3"/>
      <c r="W61" s="43"/>
      <c r="X61" s="43"/>
      <c r="Y61" s="40"/>
    </row>
    <row r="62" spans="1:26" x14ac:dyDescent="0.25">
      <c r="A62" s="41" t="s">
        <v>84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3"/>
      <c r="W62" s="43"/>
      <c r="X62" s="43"/>
      <c r="Y62" s="40"/>
    </row>
    <row r="63" spans="1:26" x14ac:dyDescent="0.25">
      <c r="A63" s="41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3"/>
      <c r="W63" s="43"/>
      <c r="X63" s="43"/>
      <c r="Y63" s="40"/>
    </row>
    <row r="64" spans="1:26" x14ac:dyDescent="0.25">
      <c r="A64" s="124" t="s">
        <v>70</v>
      </c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3"/>
      <c r="W64" s="43"/>
      <c r="X64" s="43"/>
      <c r="Y64" s="40"/>
    </row>
    <row r="65" spans="1:25" x14ac:dyDescent="0.25">
      <c r="A65" s="125" t="s">
        <v>71</v>
      </c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3"/>
      <c r="W65" s="43"/>
      <c r="X65" s="43"/>
      <c r="Y65" s="40"/>
    </row>
    <row r="66" spans="1:25" ht="15.75" customHeight="1" x14ac:dyDescent="0.25">
      <c r="A66" s="290" t="s">
        <v>136</v>
      </c>
      <c r="B66" s="289"/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40"/>
    </row>
    <row r="67" spans="1:25" x14ac:dyDescent="0.25">
      <c r="A67" s="41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3"/>
      <c r="W67" s="43"/>
      <c r="X67" s="43"/>
      <c r="Y67" s="40"/>
    </row>
  </sheetData>
  <mergeCells count="5">
    <mergeCell ref="A60:X60"/>
    <mergeCell ref="A66:X66"/>
    <mergeCell ref="A1:X1"/>
    <mergeCell ref="A3:Y3"/>
    <mergeCell ref="A53:Y53"/>
  </mergeCells>
  <pageMargins left="0.7" right="0.7" top="0.75" bottom="0.75" header="0.3" footer="0.3"/>
  <pageSetup paperSize="9" orientation="portrait" r:id="rId1"/>
  <ignoredErrors>
    <ignoredError sqref="P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Hist &amp; Current WM Products</vt:lpstr>
      <vt:lpstr>Hist &amp; Current YM Products</vt:lpstr>
      <vt:lpstr>White Maize Prod BRON</vt:lpstr>
      <vt:lpstr>WM Meal Chart</vt:lpstr>
      <vt:lpstr>WM Rice Grit Samp Chart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Naude</dc:creator>
  <cp:lastModifiedBy>Sanet Naude</cp:lastModifiedBy>
  <dcterms:created xsi:type="dcterms:W3CDTF">2016-05-13T06:04:20Z</dcterms:created>
  <dcterms:modified xsi:type="dcterms:W3CDTF">2023-05-08T12:59:05Z</dcterms:modified>
</cp:coreProperties>
</file>