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Serif\SAGIS New Web\Historic\"/>
    </mc:Choice>
  </mc:AlternateContent>
  <bookViews>
    <workbookView xWindow="240" yWindow="75" windowWidth="20115" windowHeight="7995"/>
  </bookViews>
  <sheets>
    <sheet name="Bread Baked from 1948" sheetId="2" r:id="rId1"/>
    <sheet name="Bread Consump Chart" sheetId="14" r:id="rId2"/>
    <sheet name="Bread Manufactured Chart" sheetId="11" r:id="rId3"/>
    <sheet name="Confectionery" sheetId="4" state="hidden" r:id="rId4"/>
    <sheet name="F Biscuits" sheetId="5" state="hidden" r:id="rId5"/>
    <sheet name="Pasta" sheetId="6" state="hidden" r:id="rId6"/>
    <sheet name="Other" sheetId="7" state="hidden" r:id="rId7"/>
    <sheet name="Private" sheetId="8" state="hidden" r:id="rId8"/>
    <sheet name="Total Flour" sheetId="9" r:id="rId9"/>
    <sheet name="Products Chart" sheetId="10" r:id="rId10"/>
  </sheets>
  <definedNames>
    <definedName name="_xlnm.Print_Area" localSheetId="0">'Bread Baked from 1948'!$A$1:$R$92</definedName>
  </definedNames>
  <calcPr calcId="162913"/>
</workbook>
</file>

<file path=xl/calcChain.xml><?xml version="1.0" encoding="utf-8"?>
<calcChain xmlns="http://schemas.openxmlformats.org/spreadsheetml/2006/main">
  <c r="AS34" i="2" l="1"/>
  <c r="AS27" i="2"/>
  <c r="AS22" i="2"/>
  <c r="AS15" i="2"/>
  <c r="AP37" i="2"/>
  <c r="AQ36" i="2"/>
  <c r="AS36" i="2" s="1"/>
  <c r="AQ35" i="2"/>
  <c r="AS35" i="2" s="1"/>
  <c r="AQ34" i="2"/>
  <c r="AQ33" i="2"/>
  <c r="AS33" i="2" s="1"/>
  <c r="AP30" i="2"/>
  <c r="AQ29" i="2"/>
  <c r="AS29" i="2" s="1"/>
  <c r="AQ28" i="2"/>
  <c r="AS28" i="2" s="1"/>
  <c r="AQ27" i="2"/>
  <c r="AQ26" i="2"/>
  <c r="AS26" i="2" s="1"/>
  <c r="AP23" i="2"/>
  <c r="G75" i="2" s="1"/>
  <c r="AQ22" i="2"/>
  <c r="AQ21" i="2"/>
  <c r="AS21" i="2" s="1"/>
  <c r="AQ20" i="2"/>
  <c r="AS20" i="2" s="1"/>
  <c r="AQ19" i="2"/>
  <c r="AS19" i="2" s="1"/>
  <c r="AP16" i="2"/>
  <c r="D75" i="2" s="1"/>
  <c r="AQ15" i="2"/>
  <c r="AQ14" i="2"/>
  <c r="AS14" i="2" s="1"/>
  <c r="AQ13" i="2"/>
  <c r="AS13" i="2" s="1"/>
  <c r="AQ12" i="2"/>
  <c r="AS12" i="2" s="1"/>
  <c r="R75" i="2"/>
  <c r="H75" i="2" l="1"/>
  <c r="N75" i="2" s="1"/>
  <c r="AP44" i="2"/>
  <c r="AQ37" i="2"/>
  <c r="AP39" i="2"/>
  <c r="AP45" i="2"/>
  <c r="AQ30" i="2"/>
  <c r="AQ23" i="2"/>
  <c r="K75" i="2" s="1"/>
  <c r="AQ16" i="2"/>
  <c r="J75" i="2" s="1"/>
  <c r="AP46" i="2"/>
  <c r="AE75" i="2" l="1"/>
  <c r="AQ39" i="2"/>
  <c r="L75" i="2" s="1"/>
  <c r="AQ45" i="2"/>
  <c r="AQ44" i="2"/>
  <c r="AQ46" i="2" s="1"/>
  <c r="Q75" i="2" l="1"/>
  <c r="O75" i="2"/>
  <c r="L75" i="9"/>
  <c r="L74" i="9"/>
  <c r="R74" i="2" l="1"/>
  <c r="AN16" i="2" l="1"/>
  <c r="D72" i="2"/>
  <c r="AN37" i="2"/>
  <c r="AO36" i="2"/>
  <c r="AO35" i="2"/>
  <c r="AO34" i="2"/>
  <c r="AO33" i="2"/>
  <c r="AS37" i="2" s="1"/>
  <c r="AN30" i="2"/>
  <c r="AO29" i="2"/>
  <c r="AO28" i="2"/>
  <c r="AO27" i="2"/>
  <c r="AO26" i="2"/>
  <c r="AN23" i="2"/>
  <c r="AO22" i="2"/>
  <c r="AO21" i="2"/>
  <c r="AO20" i="2"/>
  <c r="AO19" i="2"/>
  <c r="AO15" i="2"/>
  <c r="AO14" i="2"/>
  <c r="AO13" i="2"/>
  <c r="AO12" i="2"/>
  <c r="R73" i="2"/>
  <c r="D74" i="2" l="1"/>
  <c r="AS30" i="2"/>
  <c r="AS23" i="2"/>
  <c r="AS16" i="2"/>
  <c r="AO37" i="2"/>
  <c r="G74" i="2"/>
  <c r="AN45" i="2"/>
  <c r="AN44" i="2"/>
  <c r="AN39" i="2"/>
  <c r="AO30" i="2"/>
  <c r="AO23" i="2"/>
  <c r="AO16" i="2"/>
  <c r="AS39" i="2" l="1"/>
  <c r="AN46" i="2"/>
  <c r="AO45" i="2"/>
  <c r="K74" i="2"/>
  <c r="AO39" i="2"/>
  <c r="L74" i="2" s="1"/>
  <c r="J74" i="2"/>
  <c r="AO44" i="2"/>
  <c r="AO46" i="2" l="1"/>
  <c r="AL37" i="2"/>
  <c r="AL30" i="2"/>
  <c r="AL23" i="2"/>
  <c r="AL16" i="2"/>
  <c r="D73" i="2" l="1"/>
  <c r="G73" i="2"/>
  <c r="H73" i="2"/>
  <c r="N73" i="2" s="1"/>
  <c r="AL39" i="2"/>
  <c r="AM36" i="2"/>
  <c r="AM35" i="2"/>
  <c r="AM34" i="2"/>
  <c r="AM33" i="2"/>
  <c r="AM29" i="2"/>
  <c r="AM28" i="2"/>
  <c r="AM27" i="2"/>
  <c r="AM26" i="2"/>
  <c r="AM22" i="2"/>
  <c r="AM21" i="2"/>
  <c r="AM20" i="2"/>
  <c r="AM19" i="2"/>
  <c r="AM15" i="2"/>
  <c r="AM14" i="2"/>
  <c r="AM13" i="2"/>
  <c r="AM12" i="2"/>
  <c r="H74" i="2"/>
  <c r="N74" i="2" s="1"/>
  <c r="L73" i="9"/>
  <c r="L72" i="9"/>
  <c r="L71" i="9"/>
  <c r="AM37" i="2" l="1"/>
  <c r="AM16" i="2"/>
  <c r="J73" i="2" s="1"/>
  <c r="AM30" i="2"/>
  <c r="AM23" i="2"/>
  <c r="K73" i="2" s="1"/>
  <c r="AM44" i="2" l="1"/>
  <c r="AM39" i="2"/>
  <c r="L73" i="2" s="1"/>
  <c r="O74" i="2"/>
  <c r="Q74" i="2"/>
  <c r="AE73" i="2"/>
  <c r="AM45" i="2"/>
  <c r="Q73" i="2" l="1"/>
  <c r="O73" i="2"/>
  <c r="AM46" i="2"/>
  <c r="AE74" i="2"/>
  <c r="R71" i="2" l="1"/>
  <c r="R42" i="2"/>
  <c r="R41" i="2"/>
  <c r="R40" i="2"/>
  <c r="R39" i="2"/>
  <c r="R5" i="2" l="1"/>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2" i="2"/>
  <c r="R4" i="2"/>
  <c r="D71" i="2" l="1"/>
  <c r="AI12" i="2" l="1"/>
  <c r="AK12" i="2"/>
  <c r="AI13" i="2"/>
  <c r="AK13" i="2"/>
  <c r="AI14" i="2"/>
  <c r="AK14" i="2"/>
  <c r="AI15" i="2"/>
  <c r="AK15" i="2"/>
  <c r="AI19" i="2"/>
  <c r="AK19" i="2"/>
  <c r="AI20" i="2"/>
  <c r="AK20" i="2"/>
  <c r="AI21" i="2"/>
  <c r="AK21" i="2"/>
  <c r="AI22" i="2"/>
  <c r="AK22" i="2"/>
  <c r="AI26" i="2"/>
  <c r="AK26" i="2"/>
  <c r="AI27" i="2"/>
  <c r="AK27" i="2"/>
  <c r="AI28" i="2"/>
  <c r="AK28" i="2"/>
  <c r="AI29" i="2"/>
  <c r="AK29" i="2"/>
  <c r="AI33" i="2"/>
  <c r="AK33" i="2"/>
  <c r="AI34" i="2"/>
  <c r="AK34" i="2"/>
  <c r="AI35" i="2"/>
  <c r="AK35" i="2"/>
  <c r="AI36" i="2"/>
  <c r="AK36" i="2"/>
  <c r="AK30" i="2" l="1"/>
  <c r="AI16" i="2"/>
  <c r="AI30" i="2"/>
  <c r="AK16" i="2"/>
  <c r="AK37" i="2"/>
  <c r="AI23" i="2"/>
  <c r="AI37" i="2"/>
  <c r="AK23" i="2"/>
  <c r="G72" i="2"/>
  <c r="G71" i="2"/>
  <c r="K72" i="2" l="1"/>
  <c r="AK45" i="2"/>
  <c r="K71" i="2"/>
  <c r="AI45" i="2"/>
  <c r="J71" i="2"/>
  <c r="AI44" i="2"/>
  <c r="J72" i="2"/>
  <c r="AK44" i="2"/>
  <c r="AK46" i="2" s="1"/>
  <c r="AK39" i="2"/>
  <c r="AI39" i="2"/>
  <c r="L71" i="2" s="1"/>
  <c r="H72" i="2"/>
  <c r="N72" i="2" s="1"/>
  <c r="H71" i="2"/>
  <c r="N71" i="2" s="1"/>
  <c r="C5" i="4"/>
  <c r="C6" i="4"/>
  <c r="C7" i="4"/>
  <c r="C8" i="4"/>
  <c r="C9" i="4"/>
  <c r="C10" i="4"/>
  <c r="C11" i="4"/>
  <c r="C12" i="4"/>
  <c r="C13" i="4"/>
  <c r="C14" i="4"/>
  <c r="C15" i="4"/>
  <c r="C16" i="4"/>
  <c r="C17" i="4"/>
  <c r="C18" i="4"/>
  <c r="E14" i="2"/>
  <c r="G14" i="2" s="1"/>
  <c r="K14" i="2" s="1"/>
  <c r="E13" i="2"/>
  <c r="G13" i="2" s="1"/>
  <c r="K13" i="2" s="1"/>
  <c r="E12" i="2"/>
  <c r="G12" i="2" s="1"/>
  <c r="K12" i="2" s="1"/>
  <c r="E11" i="2"/>
  <c r="G11" i="2" s="1"/>
  <c r="K11" i="2" s="1"/>
  <c r="E10" i="2"/>
  <c r="G10" i="2" s="1"/>
  <c r="K10" i="2" s="1"/>
  <c r="E9" i="2"/>
  <c r="G9" i="2" s="1"/>
  <c r="K9" i="2" s="1"/>
  <c r="E8" i="2"/>
  <c r="G8" i="2" s="1"/>
  <c r="K8" i="2" s="1"/>
  <c r="E7" i="2"/>
  <c r="G7" i="2" s="1"/>
  <c r="K7" i="2" s="1"/>
  <c r="G22" i="2"/>
  <c r="K22" i="2" s="1"/>
  <c r="G23" i="2"/>
  <c r="K23" i="2" s="1"/>
  <c r="D22" i="2"/>
  <c r="J22" i="2" s="1"/>
  <c r="D23" i="2"/>
  <c r="J23" i="2" s="1"/>
  <c r="G42" i="2"/>
  <c r="K42" i="2" s="1"/>
  <c r="G41" i="2"/>
  <c r="K41" i="2" s="1"/>
  <c r="G40" i="2"/>
  <c r="K40" i="2" s="1"/>
  <c r="G39" i="2"/>
  <c r="K39" i="2" s="1"/>
  <c r="G38" i="2"/>
  <c r="K38" i="2" s="1"/>
  <c r="G37" i="2"/>
  <c r="K37" i="2" s="1"/>
  <c r="G36" i="2"/>
  <c r="K36" i="2" s="1"/>
  <c r="G35" i="2"/>
  <c r="K35" i="2" s="1"/>
  <c r="G34" i="2"/>
  <c r="K34" i="2" s="1"/>
  <c r="G33" i="2"/>
  <c r="K33" i="2" s="1"/>
  <c r="G32" i="2"/>
  <c r="K32" i="2" s="1"/>
  <c r="G31" i="2"/>
  <c r="K31" i="2" s="1"/>
  <c r="G30" i="2"/>
  <c r="K30" i="2" s="1"/>
  <c r="G29" i="2"/>
  <c r="K29" i="2" s="1"/>
  <c r="G28" i="2"/>
  <c r="K28" i="2" s="1"/>
  <c r="G27" i="2"/>
  <c r="K27" i="2" s="1"/>
  <c r="G26" i="2"/>
  <c r="K26" i="2" s="1"/>
  <c r="G25" i="2"/>
  <c r="K25" i="2" s="1"/>
  <c r="G24" i="2"/>
  <c r="K24" i="2" s="1"/>
  <c r="G17" i="2"/>
  <c r="K17" i="2" s="1"/>
  <c r="G18" i="2"/>
  <c r="K18" i="2" s="1"/>
  <c r="G19" i="2"/>
  <c r="K19" i="2" s="1"/>
  <c r="G20" i="2"/>
  <c r="K20" i="2" s="1"/>
  <c r="G21" i="2"/>
  <c r="K21" i="2" s="1"/>
  <c r="G15" i="2"/>
  <c r="K15" i="2" s="1"/>
  <c r="G16" i="2"/>
  <c r="K16" i="2" s="1"/>
  <c r="G6" i="2"/>
  <c r="K6" i="2" s="1"/>
  <c r="G5" i="2"/>
  <c r="K5" i="2" s="1"/>
  <c r="G4" i="2"/>
  <c r="K4" i="2" s="1"/>
  <c r="D4" i="2"/>
  <c r="J4" i="2" s="1"/>
  <c r="D42" i="2"/>
  <c r="J42" i="2" s="1"/>
  <c r="D41" i="2"/>
  <c r="J41" i="2" s="1"/>
  <c r="D40" i="2"/>
  <c r="J40" i="2" s="1"/>
  <c r="D39" i="2"/>
  <c r="J39" i="2" s="1"/>
  <c r="D38" i="2"/>
  <c r="J38" i="2" s="1"/>
  <c r="D37" i="2"/>
  <c r="J37" i="2" s="1"/>
  <c r="D36" i="2"/>
  <c r="J36" i="2" s="1"/>
  <c r="D35" i="2"/>
  <c r="J35" i="2" s="1"/>
  <c r="D34" i="2"/>
  <c r="J34" i="2" s="1"/>
  <c r="D33" i="2"/>
  <c r="J33" i="2" s="1"/>
  <c r="D32" i="2"/>
  <c r="J32" i="2" s="1"/>
  <c r="D31" i="2"/>
  <c r="J31" i="2" s="1"/>
  <c r="D30" i="2"/>
  <c r="J30" i="2" s="1"/>
  <c r="D29" i="2"/>
  <c r="J29" i="2" s="1"/>
  <c r="D28" i="2"/>
  <c r="J28" i="2" s="1"/>
  <c r="D27" i="2"/>
  <c r="J27" i="2" s="1"/>
  <c r="D26" i="2"/>
  <c r="J26" i="2" s="1"/>
  <c r="D25" i="2"/>
  <c r="J25" i="2" s="1"/>
  <c r="D24" i="2"/>
  <c r="J24" i="2" s="1"/>
  <c r="D21" i="2"/>
  <c r="J21" i="2" s="1"/>
  <c r="D18" i="2"/>
  <c r="J18" i="2" s="1"/>
  <c r="D19" i="2"/>
  <c r="J19" i="2" s="1"/>
  <c r="D20" i="2"/>
  <c r="J20" i="2" s="1"/>
  <c r="D15" i="2"/>
  <c r="J15" i="2" s="1"/>
  <c r="D16" i="2"/>
  <c r="J16" i="2" s="1"/>
  <c r="D17" i="2"/>
  <c r="J17" i="2" s="1"/>
  <c r="D13" i="2"/>
  <c r="J13" i="2" s="1"/>
  <c r="D14" i="2"/>
  <c r="J14" i="2" s="1"/>
  <c r="D5" i="2"/>
  <c r="J5" i="2" s="1"/>
  <c r="D6" i="2"/>
  <c r="J6" i="2" s="1"/>
  <c r="D7" i="2"/>
  <c r="J7" i="2" s="1"/>
  <c r="D8" i="2"/>
  <c r="J8" i="2" s="1"/>
  <c r="D9" i="2"/>
  <c r="J9" i="2" s="1"/>
  <c r="D10" i="2"/>
  <c r="J10" i="2" s="1"/>
  <c r="D11" i="2"/>
  <c r="J11" i="2" s="1"/>
  <c r="D12" i="2"/>
  <c r="J12" i="2" s="1"/>
  <c r="AE42" i="2" l="1"/>
  <c r="O71" i="2"/>
  <c r="Q71" i="2"/>
  <c r="AI46" i="2"/>
  <c r="AE72" i="2"/>
  <c r="L72" i="2"/>
  <c r="H5" i="2"/>
  <c r="H18" i="2"/>
  <c r="L18" i="2" s="1"/>
  <c r="H26" i="2"/>
  <c r="L26" i="2" s="1"/>
  <c r="H30" i="2"/>
  <c r="L30" i="2" s="1"/>
  <c r="H34" i="2"/>
  <c r="L34" i="2" s="1"/>
  <c r="H38" i="2"/>
  <c r="L38" i="2" s="1"/>
  <c r="O38" i="2" s="1"/>
  <c r="H42" i="2"/>
  <c r="H19" i="2"/>
  <c r="L19" i="2" s="1"/>
  <c r="H25" i="2"/>
  <c r="L25" i="2" s="1"/>
  <c r="H29" i="2"/>
  <c r="L29" i="2" s="1"/>
  <c r="H33" i="2"/>
  <c r="L33" i="2" s="1"/>
  <c r="H37" i="2"/>
  <c r="L37" i="2" s="1"/>
  <c r="H41" i="2"/>
  <c r="L41" i="2" s="1"/>
  <c r="Q41" i="2" s="1"/>
  <c r="H4" i="2"/>
  <c r="H27" i="2"/>
  <c r="L27" i="2" s="1"/>
  <c r="H31" i="2"/>
  <c r="L31" i="2" s="1"/>
  <c r="H39" i="2"/>
  <c r="L39" i="2" s="1"/>
  <c r="H13" i="2"/>
  <c r="L13" i="2" s="1"/>
  <c r="H20" i="2"/>
  <c r="L20" i="2" s="1"/>
  <c r="H24" i="2"/>
  <c r="L24" i="2" s="1"/>
  <c r="H28" i="2"/>
  <c r="L28" i="2" s="1"/>
  <c r="H32" i="2"/>
  <c r="L32" i="2" s="1"/>
  <c r="H36" i="2"/>
  <c r="L36" i="2" s="1"/>
  <c r="H40" i="2"/>
  <c r="H21" i="2"/>
  <c r="L21" i="2" s="1"/>
  <c r="H35" i="2"/>
  <c r="L35" i="2" s="1"/>
  <c r="H16" i="2"/>
  <c r="L16" i="2" s="1"/>
  <c r="H14" i="2"/>
  <c r="L14" i="2" s="1"/>
  <c r="H22" i="2"/>
  <c r="L22" i="2" s="1"/>
  <c r="H10" i="2"/>
  <c r="L10" i="2" s="1"/>
  <c r="H17" i="2"/>
  <c r="L17" i="2" s="1"/>
  <c r="H9" i="2"/>
  <c r="L9" i="2" s="1"/>
  <c r="H12" i="2"/>
  <c r="L12" i="2" s="1"/>
  <c r="H8" i="2"/>
  <c r="H15" i="2"/>
  <c r="L15" i="2" s="1"/>
  <c r="H6" i="2"/>
  <c r="H23" i="2"/>
  <c r="L23" i="2" s="1"/>
  <c r="H7" i="2"/>
  <c r="H11" i="2"/>
  <c r="L11" i="2" s="1"/>
  <c r="C24" i="9"/>
  <c r="C25" i="9"/>
  <c r="C26" i="9"/>
  <c r="C27" i="9"/>
  <c r="C28" i="9"/>
  <c r="C29" i="9"/>
  <c r="C30" i="9"/>
  <c r="C31" i="9"/>
  <c r="C32" i="9"/>
  <c r="C33" i="9"/>
  <c r="C34" i="9"/>
  <c r="C35" i="9"/>
  <c r="C36" i="9"/>
  <c r="C37" i="9"/>
  <c r="C38" i="9"/>
  <c r="C39" i="9"/>
  <c r="C40" i="9"/>
  <c r="C41" i="9"/>
  <c r="C42" i="9"/>
  <c r="C43" i="9"/>
  <c r="C44" i="9"/>
  <c r="C45" i="9"/>
  <c r="C46" i="9"/>
  <c r="C47" i="9"/>
  <c r="C48" i="9"/>
  <c r="C18" i="9"/>
  <c r="C19" i="9"/>
  <c r="C20" i="9"/>
  <c r="C21" i="9"/>
  <c r="C22" i="9"/>
  <c r="C23" i="9"/>
  <c r="J22" i="9"/>
  <c r="J23" i="9"/>
  <c r="J24" i="9"/>
  <c r="J25" i="9"/>
  <c r="J26" i="9"/>
  <c r="J27" i="9"/>
  <c r="J28" i="9"/>
  <c r="J29" i="9"/>
  <c r="J30" i="9"/>
  <c r="J31" i="9"/>
  <c r="J32" i="9"/>
  <c r="J33" i="9"/>
  <c r="J34" i="9"/>
  <c r="J35" i="9"/>
  <c r="J36" i="9"/>
  <c r="J37" i="9"/>
  <c r="J38" i="9"/>
  <c r="J39" i="9"/>
  <c r="J40" i="9"/>
  <c r="J41" i="9"/>
  <c r="J42" i="9"/>
  <c r="J43" i="9"/>
  <c r="J44" i="9"/>
  <c r="J45" i="9"/>
  <c r="J46" i="9"/>
  <c r="J47" i="9"/>
  <c r="J48"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Q39" i="2" l="1"/>
  <c r="O39" i="2"/>
  <c r="L40" i="2"/>
  <c r="N40" i="2"/>
  <c r="O72" i="2"/>
  <c r="Q72" i="2"/>
  <c r="N42" i="2"/>
  <c r="L42" i="2"/>
  <c r="L7" i="2"/>
  <c r="Q7" i="2" s="1"/>
  <c r="N7" i="2"/>
  <c r="L8" i="2"/>
  <c r="Q8" i="2" s="1"/>
  <c r="N8" i="2"/>
  <c r="Q10" i="2"/>
  <c r="N10" i="2"/>
  <c r="Q35" i="2"/>
  <c r="N35" i="2"/>
  <c r="Q32" i="2"/>
  <c r="N32" i="2"/>
  <c r="Q13" i="2"/>
  <c r="N13" i="2"/>
  <c r="L4" i="2"/>
  <c r="N4" i="2"/>
  <c r="Q29" i="2"/>
  <c r="N29" i="2"/>
  <c r="Q38" i="2"/>
  <c r="N38" i="2"/>
  <c r="Q18" i="2"/>
  <c r="N18" i="2"/>
  <c r="Q23" i="2"/>
  <c r="N23" i="2"/>
  <c r="Q12" i="2"/>
  <c r="N12" i="2"/>
  <c r="Q22" i="2"/>
  <c r="N22" i="2"/>
  <c r="N39" i="2"/>
  <c r="Q25" i="2"/>
  <c r="N25" i="2"/>
  <c r="L5" i="2"/>
  <c r="N5" i="2"/>
  <c r="L6" i="2"/>
  <c r="Q6" i="2" s="1"/>
  <c r="N6" i="2"/>
  <c r="Q9" i="2"/>
  <c r="N9" i="2"/>
  <c r="Q14" i="2"/>
  <c r="N14" i="2"/>
  <c r="Q24" i="2"/>
  <c r="N24" i="2"/>
  <c r="Q31" i="2"/>
  <c r="N31" i="2"/>
  <c r="Q37" i="2"/>
  <c r="N37" i="2"/>
  <c r="Q19" i="2"/>
  <c r="N19" i="2"/>
  <c r="Q30" i="2"/>
  <c r="N30" i="2"/>
  <c r="Q21" i="2"/>
  <c r="N21" i="2"/>
  <c r="O28" i="2"/>
  <c r="N28" i="2"/>
  <c r="N41" i="2"/>
  <c r="Q34" i="2"/>
  <c r="N34" i="2"/>
  <c r="Q11" i="2"/>
  <c r="N11" i="2"/>
  <c r="O15" i="2"/>
  <c r="N15" i="2"/>
  <c r="Q17" i="2"/>
  <c r="N17" i="2"/>
  <c r="O16" i="2"/>
  <c r="N16" i="2"/>
  <c r="Q36" i="2"/>
  <c r="N36" i="2"/>
  <c r="Q20" i="2"/>
  <c r="N20" i="2"/>
  <c r="Q27" i="2"/>
  <c r="N27" i="2"/>
  <c r="O33" i="2"/>
  <c r="N33" i="2"/>
  <c r="Q26" i="2"/>
  <c r="N26" i="2"/>
  <c r="Q28" i="2"/>
  <c r="K5" i="4"/>
  <c r="K6" i="4"/>
  <c r="K7" i="4"/>
  <c r="K8" i="4"/>
  <c r="K9" i="4"/>
  <c r="I5" i="4"/>
  <c r="I6" i="4"/>
  <c r="I7" i="4"/>
  <c r="I8" i="4"/>
  <c r="G5" i="4"/>
  <c r="G6" i="4"/>
  <c r="G7" i="4"/>
  <c r="G8" i="4"/>
  <c r="E5" i="4"/>
  <c r="E6" i="4"/>
  <c r="E7" i="4"/>
  <c r="E8" i="4"/>
  <c r="E10" i="7"/>
  <c r="E11" i="7"/>
  <c r="E12" i="7"/>
  <c r="K5" i="7"/>
  <c r="K6" i="7"/>
  <c r="K7" i="7"/>
  <c r="K8" i="7"/>
  <c r="K9" i="7"/>
  <c r="K10" i="7"/>
  <c r="K11" i="7"/>
  <c r="I5" i="7"/>
  <c r="I6" i="7"/>
  <c r="I7" i="7"/>
  <c r="I8" i="7"/>
  <c r="I9" i="7"/>
  <c r="I10" i="7"/>
  <c r="I11" i="7"/>
  <c r="G5" i="7"/>
  <c r="G6" i="7"/>
  <c r="G7" i="7"/>
  <c r="G8" i="7"/>
  <c r="G9" i="7"/>
  <c r="G10" i="7"/>
  <c r="G11" i="7"/>
  <c r="E5" i="7"/>
  <c r="E6" i="7"/>
  <c r="E7" i="7"/>
  <c r="E8" i="7"/>
  <c r="E9" i="7"/>
  <c r="C5" i="7"/>
  <c r="C6" i="7"/>
  <c r="C7" i="7"/>
  <c r="C8" i="7"/>
  <c r="C9" i="7"/>
  <c r="C10" i="7"/>
  <c r="C11" i="7"/>
  <c r="C12" i="7"/>
  <c r="K5" i="6"/>
  <c r="K6" i="6"/>
  <c r="K7" i="6"/>
  <c r="K8" i="6"/>
  <c r="K9" i="6"/>
  <c r="K10" i="6"/>
  <c r="K11" i="6"/>
  <c r="K12" i="6"/>
  <c r="I5" i="6"/>
  <c r="I6" i="6"/>
  <c r="I7" i="6"/>
  <c r="I8" i="6"/>
  <c r="I9" i="6"/>
  <c r="I10" i="6"/>
  <c r="I11" i="6"/>
  <c r="I12" i="6"/>
  <c r="G5" i="6"/>
  <c r="G6" i="6"/>
  <c r="G7" i="6"/>
  <c r="G8" i="6"/>
  <c r="G9" i="6"/>
  <c r="G10" i="6"/>
  <c r="G11" i="6"/>
  <c r="G12" i="6"/>
  <c r="E5" i="6"/>
  <c r="E6" i="6"/>
  <c r="E7" i="6"/>
  <c r="E8" i="6"/>
  <c r="E9" i="6"/>
  <c r="E10" i="6"/>
  <c r="E11" i="6"/>
  <c r="E12" i="6"/>
  <c r="C5" i="6"/>
  <c r="C6" i="6"/>
  <c r="C7" i="6"/>
  <c r="C8" i="6"/>
  <c r="C9" i="6"/>
  <c r="C10" i="6"/>
  <c r="C11" i="6"/>
  <c r="C12" i="6"/>
  <c r="K5" i="5"/>
  <c r="K6" i="5"/>
  <c r="K7" i="5"/>
  <c r="K8" i="5"/>
  <c r="K9" i="5"/>
  <c r="K10" i="5"/>
  <c r="K11" i="5"/>
  <c r="K12" i="5"/>
  <c r="I5" i="5"/>
  <c r="I6" i="5"/>
  <c r="I7" i="5"/>
  <c r="I8" i="5"/>
  <c r="I9" i="5"/>
  <c r="I10" i="5"/>
  <c r="I11" i="5"/>
  <c r="I12" i="5"/>
  <c r="G5" i="5"/>
  <c r="G6" i="5"/>
  <c r="G7" i="5"/>
  <c r="G8" i="5"/>
  <c r="G9" i="5"/>
  <c r="G10" i="5"/>
  <c r="G11" i="5"/>
  <c r="G12" i="5"/>
  <c r="E5" i="5"/>
  <c r="E6" i="5"/>
  <c r="E7" i="5"/>
  <c r="E8" i="5"/>
  <c r="E9" i="5"/>
  <c r="E10" i="5"/>
  <c r="E11" i="5"/>
  <c r="E12" i="5"/>
  <c r="C5" i="5"/>
  <c r="C6" i="5"/>
  <c r="C7" i="5"/>
  <c r="C8" i="5"/>
  <c r="C9" i="5"/>
  <c r="C10" i="5"/>
  <c r="C11" i="5"/>
  <c r="C12" i="5"/>
  <c r="K10" i="4"/>
  <c r="K11" i="4"/>
  <c r="K12" i="4"/>
  <c r="I9" i="4"/>
  <c r="I10" i="4"/>
  <c r="I11" i="4"/>
  <c r="I12" i="4"/>
  <c r="G9" i="4"/>
  <c r="G10" i="4"/>
  <c r="G11" i="4"/>
  <c r="G12" i="4"/>
  <c r="E9" i="4"/>
  <c r="E10" i="4"/>
  <c r="E11" i="4"/>
  <c r="E12" i="4"/>
  <c r="K5" i="8"/>
  <c r="K6" i="8"/>
  <c r="K7" i="8"/>
  <c r="K8" i="8"/>
  <c r="K9" i="8"/>
  <c r="K10" i="8"/>
  <c r="K11" i="8"/>
  <c r="K12" i="8"/>
  <c r="I5" i="8"/>
  <c r="I6" i="8"/>
  <c r="I7" i="8"/>
  <c r="I8" i="8"/>
  <c r="I9" i="8"/>
  <c r="I10" i="8"/>
  <c r="I11" i="8"/>
  <c r="I12" i="8"/>
  <c r="G5" i="8"/>
  <c r="G6" i="8"/>
  <c r="G7" i="8"/>
  <c r="G8" i="8"/>
  <c r="G9" i="8"/>
  <c r="G10" i="8"/>
  <c r="G11" i="8"/>
  <c r="G12" i="8"/>
  <c r="E5" i="8"/>
  <c r="E6" i="8"/>
  <c r="E7" i="8"/>
  <c r="E8" i="8"/>
  <c r="E9" i="8"/>
  <c r="E10" i="8"/>
  <c r="E11" i="8"/>
  <c r="E12" i="8"/>
  <c r="C5" i="8"/>
  <c r="C6" i="8"/>
  <c r="C7" i="8"/>
  <c r="C8" i="8"/>
  <c r="C9" i="8"/>
  <c r="C10" i="8"/>
  <c r="C11" i="8"/>
  <c r="C12" i="8"/>
  <c r="K18" i="8"/>
  <c r="K17" i="8"/>
  <c r="K16" i="8"/>
  <c r="K15" i="8"/>
  <c r="K14" i="8"/>
  <c r="K13" i="8"/>
  <c r="I18" i="8"/>
  <c r="I17" i="8"/>
  <c r="I16" i="8"/>
  <c r="I15" i="8"/>
  <c r="I14" i="8"/>
  <c r="I13" i="8"/>
  <c r="G18" i="8"/>
  <c r="G17" i="8"/>
  <c r="G16" i="8"/>
  <c r="G15" i="8"/>
  <c r="G14" i="8"/>
  <c r="G13" i="8"/>
  <c r="E18" i="8"/>
  <c r="E17" i="8"/>
  <c r="E16" i="8"/>
  <c r="E15" i="8"/>
  <c r="E14" i="8"/>
  <c r="E13" i="8"/>
  <c r="C14" i="8"/>
  <c r="C15" i="8"/>
  <c r="C16" i="8"/>
  <c r="C17" i="8"/>
  <c r="C18" i="8"/>
  <c r="C13" i="8"/>
  <c r="K18" i="7"/>
  <c r="K17" i="7"/>
  <c r="K16" i="7"/>
  <c r="K15" i="7"/>
  <c r="K14" i="7"/>
  <c r="K13" i="7"/>
  <c r="I18" i="7"/>
  <c r="I17" i="7"/>
  <c r="I16" i="7"/>
  <c r="I15" i="7"/>
  <c r="I14" i="7"/>
  <c r="I13" i="7"/>
  <c r="G18" i="7"/>
  <c r="G17" i="7"/>
  <c r="G16" i="7"/>
  <c r="G15" i="7"/>
  <c r="G14" i="7"/>
  <c r="G13" i="7"/>
  <c r="E18" i="7"/>
  <c r="E17" i="7"/>
  <c r="E16" i="7"/>
  <c r="E15" i="7"/>
  <c r="E14" i="7"/>
  <c r="E13" i="7"/>
  <c r="C14" i="7"/>
  <c r="C15" i="7"/>
  <c r="C16" i="7"/>
  <c r="C17" i="7"/>
  <c r="C18" i="7"/>
  <c r="C13" i="7"/>
  <c r="K19" i="6"/>
  <c r="J18" i="9" s="1"/>
  <c r="K20" i="6"/>
  <c r="J19" i="9" s="1"/>
  <c r="K21" i="6"/>
  <c r="J20" i="9" s="1"/>
  <c r="K22" i="6"/>
  <c r="J21" i="9" s="1"/>
  <c r="K18" i="6"/>
  <c r="K17" i="6"/>
  <c r="K16" i="6"/>
  <c r="K15" i="6"/>
  <c r="K14" i="6"/>
  <c r="K13" i="6"/>
  <c r="I18" i="6"/>
  <c r="I17" i="6"/>
  <c r="I16" i="6"/>
  <c r="I15" i="6"/>
  <c r="I14" i="6"/>
  <c r="I13" i="6"/>
  <c r="G18" i="6"/>
  <c r="G17" i="6"/>
  <c r="G16" i="6"/>
  <c r="G15" i="6"/>
  <c r="G14" i="6"/>
  <c r="G13" i="6"/>
  <c r="E18" i="6"/>
  <c r="E17" i="6"/>
  <c r="E16" i="6"/>
  <c r="E15" i="6"/>
  <c r="E14" i="6"/>
  <c r="E13" i="6"/>
  <c r="C14" i="6"/>
  <c r="C15" i="6"/>
  <c r="C16" i="6"/>
  <c r="C17" i="6"/>
  <c r="C18" i="6"/>
  <c r="C13" i="6"/>
  <c r="G18" i="5"/>
  <c r="G17" i="5"/>
  <c r="G16" i="5"/>
  <c r="G15" i="5"/>
  <c r="G14" i="5"/>
  <c r="G13" i="5"/>
  <c r="E14" i="5"/>
  <c r="E15" i="5"/>
  <c r="E16" i="5"/>
  <c r="E17" i="5"/>
  <c r="E18" i="5"/>
  <c r="E13" i="5"/>
  <c r="K18" i="5"/>
  <c r="K17" i="5"/>
  <c r="K16" i="5"/>
  <c r="K15" i="5"/>
  <c r="K14" i="5"/>
  <c r="K13" i="5"/>
  <c r="I18" i="5"/>
  <c r="I17" i="5"/>
  <c r="I16" i="5"/>
  <c r="I15" i="5"/>
  <c r="I14" i="5"/>
  <c r="I13" i="5"/>
  <c r="C14" i="5"/>
  <c r="C15" i="5"/>
  <c r="C16" i="5"/>
  <c r="C17" i="5"/>
  <c r="C18" i="5"/>
  <c r="C17" i="9" s="1"/>
  <c r="C13" i="5"/>
  <c r="K14" i="4"/>
  <c r="K15" i="4"/>
  <c r="K16" i="4"/>
  <c r="K17" i="4"/>
  <c r="J16" i="9" s="1"/>
  <c r="K18" i="4"/>
  <c r="K13" i="4"/>
  <c r="I14" i="4"/>
  <c r="I15" i="4"/>
  <c r="H14" i="9" s="1"/>
  <c r="I16" i="4"/>
  <c r="I17" i="4"/>
  <c r="I18" i="4"/>
  <c r="I13" i="4"/>
  <c r="G14" i="4"/>
  <c r="G15" i="4"/>
  <c r="G16" i="4"/>
  <c r="G17" i="4"/>
  <c r="F16" i="9" s="1"/>
  <c r="G18" i="4"/>
  <c r="G13" i="4"/>
  <c r="E13" i="4"/>
  <c r="C12" i="9"/>
  <c r="E15" i="4"/>
  <c r="E16" i="4"/>
  <c r="E17" i="4"/>
  <c r="E18" i="4"/>
  <c r="E14" i="4"/>
  <c r="AR56" i="2" l="1"/>
  <c r="O42" i="2"/>
  <c r="Q42" i="2"/>
  <c r="O40" i="2"/>
  <c r="Q40" i="2"/>
  <c r="Q5" i="2"/>
  <c r="O5" i="2"/>
  <c r="Q4" i="2"/>
  <c r="O4" i="2"/>
  <c r="Q15" i="2"/>
  <c r="Q33" i="2"/>
  <c r="O20" i="2"/>
  <c r="Q16" i="2"/>
  <c r="O21" i="2"/>
  <c r="O31" i="2"/>
  <c r="O6" i="2"/>
  <c r="O23" i="2"/>
  <c r="O10" i="2"/>
  <c r="O26" i="2"/>
  <c r="O27" i="2"/>
  <c r="O36" i="2"/>
  <c r="O17" i="2"/>
  <c r="O11" i="2"/>
  <c r="O19" i="2"/>
  <c r="O14" i="2"/>
  <c r="O25" i="2"/>
  <c r="O22" i="2"/>
  <c r="O32" i="2"/>
  <c r="O7" i="2"/>
  <c r="O34" i="2"/>
  <c r="O30" i="2"/>
  <c r="O37" i="2"/>
  <c r="O24" i="2"/>
  <c r="O9" i="2"/>
  <c r="O12" i="2"/>
  <c r="O18" i="2"/>
  <c r="O29" i="2"/>
  <c r="O13" i="2"/>
  <c r="O35" i="2"/>
  <c r="O8" i="2"/>
  <c r="O41" i="2"/>
  <c r="F17" i="9"/>
  <c r="F13" i="9"/>
  <c r="H15" i="9"/>
  <c r="J17" i="9"/>
  <c r="J13" i="9"/>
  <c r="F14" i="9"/>
  <c r="H16" i="9"/>
  <c r="J14" i="9"/>
  <c r="C13" i="9"/>
  <c r="C14" i="9"/>
  <c r="E15" i="9"/>
  <c r="F12" i="9"/>
  <c r="J12" i="9"/>
  <c r="C9" i="9"/>
  <c r="E9" i="9"/>
  <c r="F9" i="9"/>
  <c r="H9" i="9"/>
  <c r="J9" i="9"/>
  <c r="C5" i="9"/>
  <c r="E5" i="9"/>
  <c r="F5" i="9"/>
  <c r="H5" i="9"/>
  <c r="J6" i="9"/>
  <c r="E13" i="9"/>
  <c r="J5" i="9"/>
  <c r="E14" i="9"/>
  <c r="C8" i="9"/>
  <c r="E8" i="9"/>
  <c r="H8" i="9"/>
  <c r="C4" i="9"/>
  <c r="E4" i="9"/>
  <c r="F4" i="9"/>
  <c r="H4" i="9"/>
  <c r="C16" i="9"/>
  <c r="H12" i="9"/>
  <c r="C11" i="9"/>
  <c r="E11" i="9"/>
  <c r="F11" i="9"/>
  <c r="H11" i="9"/>
  <c r="J11" i="9"/>
  <c r="C7" i="9"/>
  <c r="E7" i="9"/>
  <c r="F7" i="9"/>
  <c r="H7" i="9"/>
  <c r="J8" i="9"/>
  <c r="J4" i="9"/>
  <c r="C15" i="9"/>
  <c r="E16" i="9"/>
  <c r="E12" i="9"/>
  <c r="F15" i="9"/>
  <c r="H17" i="9"/>
  <c r="H13" i="9"/>
  <c r="J15" i="9"/>
  <c r="C10" i="9"/>
  <c r="E10" i="9"/>
  <c r="F10" i="9"/>
  <c r="H10" i="9"/>
  <c r="J10" i="9"/>
  <c r="C6" i="9"/>
  <c r="E6" i="9"/>
  <c r="F6" i="9"/>
  <c r="H6" i="9"/>
  <c r="J7" i="9"/>
  <c r="F8" i="9"/>
  <c r="E17" i="9"/>
</calcChain>
</file>

<file path=xl/sharedStrings.xml><?xml version="1.0" encoding="utf-8"?>
<sst xmlns="http://schemas.openxmlformats.org/spreadsheetml/2006/main" count="581" uniqueCount="172">
  <si>
    <t>Semolina</t>
  </si>
  <si>
    <t>White bread</t>
  </si>
  <si>
    <t>Brown bread</t>
  </si>
  <si>
    <t>1957/58</t>
  </si>
  <si>
    <t>Marketing
season</t>
  </si>
  <si>
    <t>1948/49</t>
  </si>
  <si>
    <t>1949/50</t>
  </si>
  <si>
    <t>1950/51</t>
  </si>
  <si>
    <t>1951/52</t>
  </si>
  <si>
    <t>1952/53</t>
  </si>
  <si>
    <t>1953/54</t>
  </si>
  <si>
    <t>1954/55</t>
  </si>
  <si>
    <t>1955/56</t>
  </si>
  <si>
    <t>1956/57</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</si>
  <si>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</si>
  <si>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</si>
  <si>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</si>
  <si>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</si>
  <si>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</si>
  <si>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</si>
  <si>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</si>
  <si>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</si>
  <si>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</si>
  <si>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</si>
  <si>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</si>
  <si>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</si>
  <si>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</si>
  <si>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</si>
  <si>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</si>
  <si>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</si>
  <si>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</si>
  <si>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</si>
  <si>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</si>
  <si>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</si>
  <si>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</si>
  <si>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</si>
  <si>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</si>
  <si>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</si>
  <si>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</si>
  <si>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</si>
  <si>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</si>
  <si>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</si>
  <si>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</si>
  <si>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</si>
  <si>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</si>
  <si>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</si>
  <si>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</si>
  <si>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</si>
  <si>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</si>
  <si>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1992/93 Bylae 3</t>
  </si>
  <si>
    <t>Confectionery</t>
  </si>
  <si>
    <t>Cake flour</t>
  </si>
  <si>
    <t>White Bread
flour</t>
  </si>
  <si>
    <t>Brown Bread
 flour</t>
  </si>
  <si>
    <t>Whole-wheat
meal</t>
  </si>
  <si>
    <t>1990/91 Bylae 8</t>
  </si>
  <si>
    <t>Factory biscuits</t>
  </si>
  <si>
    <t>Pasta products</t>
  </si>
  <si>
    <t>Other products</t>
  </si>
  <si>
    <t>Private consumers and informal market</t>
  </si>
  <si>
    <t>Pasta
Semolina</t>
  </si>
  <si>
    <t>1985/86 Bylae 9</t>
  </si>
  <si>
    <t>1982/84 p36</t>
  </si>
  <si>
    <t>1977/78 p44</t>
  </si>
  <si>
    <t>1971/72 p44</t>
  </si>
  <si>
    <t>Vanaf 1971/72 is getalle in Ton</t>
  </si>
  <si>
    <t>1965/66 p62</t>
  </si>
  <si>
    <t>1961/62 p60</t>
  </si>
  <si>
    <t>1959/60 p60</t>
  </si>
  <si>
    <t>Notes:</t>
  </si>
  <si>
    <t>Whole-wheat</t>
  </si>
  <si>
    <t xml:space="preserve">1985/86 Bylae 9 </t>
  </si>
  <si>
    <t>Total flour uses</t>
  </si>
  <si>
    <t>1993/94 on : No information available</t>
  </si>
  <si>
    <t>Source:</t>
  </si>
  <si>
    <t>1984/85 Bylae 10</t>
  </si>
  <si>
    <t>1)</t>
  </si>
  <si>
    <t>1) On account of the large difference in the price of white and brown bread which became effective during this season, the demand for brown bread increased at the expense of white bread.</t>
  </si>
  <si>
    <t>Source</t>
  </si>
  <si>
    <t>b)</t>
  </si>
  <si>
    <t>b) Years 1948 to 1987: Brown Bread includes Whole Wheat</t>
  </si>
  <si>
    <t>c)</t>
  </si>
  <si>
    <t>c) Years 1973 to 1983: White bread includes Super White</t>
  </si>
  <si>
    <t>a) Years 1951 to 1959 - Brown Bread includes Enriched Bread</t>
  </si>
  <si>
    <t>Total</t>
  </si>
  <si>
    <t>a)</t>
  </si>
  <si>
    <t>'000 Ton</t>
  </si>
  <si>
    <t>From 1948 until 1988 the weight of bread reported on was 900gr</t>
  </si>
  <si>
    <t>2015/16</t>
  </si>
  <si>
    <t>2016/17</t>
  </si>
  <si>
    <t>kg</t>
  </si>
  <si>
    <t>WHITE BREAD</t>
  </si>
  <si>
    <t>400g (Units)</t>
  </si>
  <si>
    <t>600g (Units)</t>
  </si>
  <si>
    <t>700g (Units)</t>
  </si>
  <si>
    <t>Other (Units)</t>
  </si>
  <si>
    <t>White Bread (Total Units)</t>
  </si>
  <si>
    <t>BROWN BREAD</t>
  </si>
  <si>
    <t>Brown Bread (Total Units)</t>
  </si>
  <si>
    <t>WHOLE WHEAT</t>
  </si>
  <si>
    <t>Whole Wheat (Total Units)</t>
  </si>
  <si>
    <t>OTHER</t>
  </si>
  <si>
    <t>Other (Total Units)</t>
  </si>
  <si>
    <t xml:space="preserve"> 15/16</t>
  </si>
  <si>
    <t xml:space="preserve"> 16/17</t>
  </si>
  <si>
    <t>units</t>
  </si>
  <si>
    <t>Kg/head</t>
  </si>
  <si>
    <t>%</t>
  </si>
  <si>
    <t>units/head</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</si>
  <si>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</si>
  <si>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</si>
  <si>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</si>
  <si>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</si>
  <si>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</si>
  <si>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</si>
  <si>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</si>
  <si>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</si>
  <si>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</si>
  <si>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</si>
  <si>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</si>
  <si>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</si>
  <si>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</si>
  <si>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</si>
  <si>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</si>
  <si>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</si>
  <si>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</si>
  <si>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</si>
  <si>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</si>
  <si>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</si>
  <si>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</si>
  <si>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</si>
  <si>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Bread weight</t>
  </si>
  <si>
    <t>gr</t>
  </si>
  <si>
    <t>Per
capita</t>
  </si>
  <si>
    <t>Pan Baked
as % wheat</t>
  </si>
  <si>
    <t>RSA
Population</t>
  </si>
  <si>
    <t>Bread baked from 1948</t>
  </si>
  <si>
    <t>400-700</t>
  </si>
  <si>
    <t>2)</t>
  </si>
  <si>
    <t>3)</t>
  </si>
  <si>
    <t>3) Brown bread included Whole Wheat bread</t>
  </si>
  <si>
    <t>2) White bread included Other</t>
  </si>
  <si>
    <t>1987/88 to 2014/15: No information available</t>
  </si>
  <si>
    <t>Total Pan baked bread</t>
  </si>
  <si>
    <r>
      <t xml:space="preserve">Other Flour
(Industrial)
</t>
    </r>
    <r>
      <rPr>
        <b/>
        <sz val="11"/>
        <color rgb="FF0000FF"/>
        <rFont val="Arial Narrow"/>
        <family val="2"/>
      </rPr>
      <t>1)</t>
    </r>
  </si>
  <si>
    <r>
      <t xml:space="preserve">Self-Raising
flour
</t>
    </r>
    <r>
      <rPr>
        <b/>
        <sz val="11"/>
        <color rgb="FF0000FF"/>
        <rFont val="Arial Narrow"/>
        <family val="2"/>
      </rPr>
      <t>1)</t>
    </r>
  </si>
  <si>
    <t>1) Self-rasing flour, Other Flour (Industrial) &amp; Bran were not reported before 2015/16</t>
  </si>
  <si>
    <r>
      <t xml:space="preserve">Bran
</t>
    </r>
    <r>
      <rPr>
        <b/>
        <sz val="11"/>
        <color rgb="FF0000FF"/>
        <rFont val="Arial Narrow"/>
        <family val="2"/>
      </rPr>
      <t>1)</t>
    </r>
  </si>
  <si>
    <r>
      <t xml:space="preserve">Pasta
Semolina
</t>
    </r>
    <r>
      <rPr>
        <b/>
        <sz val="11"/>
        <color rgb="FF0000FF"/>
        <rFont val="Arial Narrow"/>
        <family val="2"/>
      </rPr>
      <t>2)</t>
    </r>
  </si>
  <si>
    <t>2) Pasta Semolina was only reported for the period between 1971 and 1988</t>
  </si>
  <si>
    <t>Ton</t>
  </si>
  <si>
    <t>3) In 1971/72 the marketing year for wheat changed from 1 Nov - 31 Oct to 1 Oct - 30 Sep</t>
  </si>
  <si>
    <t>2015/16 - to date: SAGIS</t>
  </si>
  <si>
    <t>Total Wheat Processed</t>
  </si>
  <si>
    <t>Total Wheat
processed</t>
  </si>
  <si>
    <r>
      <t xml:space="preserve">1948/49 - 2014/15 </t>
    </r>
    <r>
      <rPr>
        <b/>
        <i/>
        <sz val="11"/>
        <color theme="1"/>
        <rFont val="Arial Narrow"/>
        <family val="2"/>
      </rPr>
      <t xml:space="preserve">Total Wheat Processed </t>
    </r>
    <r>
      <rPr>
        <i/>
        <sz val="11"/>
        <color theme="1"/>
        <rFont val="Arial Narrow"/>
        <family val="2"/>
      </rPr>
      <t xml:space="preserve"> - Abstract of Agricultural Statistics</t>
    </r>
  </si>
  <si>
    <t>1948/49 - 1986/87: Wheat Board Reports</t>
  </si>
  <si>
    <t>2017/18</t>
  </si>
  <si>
    <t>kg/head</t>
  </si>
  <si>
    <t>Total Wheat processed per capita</t>
  </si>
  <si>
    <r>
      <t xml:space="preserve">1948/49 - 1997/98: </t>
    </r>
    <r>
      <rPr>
        <b/>
        <sz val="11"/>
        <color theme="1"/>
        <rFont val="Arial Narrow"/>
        <family val="2"/>
      </rPr>
      <t xml:space="preserve">Total Wheat Processed: </t>
    </r>
    <r>
      <rPr>
        <sz val="11"/>
        <color theme="1"/>
        <rFont val="Arial Narrow"/>
        <family val="2"/>
      </rPr>
      <t>Abstract of Agricultural Statistics</t>
    </r>
  </si>
  <si>
    <t>1998/99 - date: SAGIS</t>
  </si>
  <si>
    <t>Units</t>
  </si>
  <si>
    <t>2018/19</t>
  </si>
  <si>
    <t xml:space="preserve"> 17/18</t>
  </si>
  <si>
    <t>Marketing
year</t>
  </si>
  <si>
    <t>18/19</t>
  </si>
  <si>
    <t>Updated:</t>
  </si>
  <si>
    <t>Population updated 2 August 2019</t>
  </si>
  <si>
    <t>2019/20</t>
  </si>
  <si>
    <t>19/20</t>
  </si>
  <si>
    <t>12 February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</si>
</sst>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26" x14ac:knownFonts="1">
    <font>
      <sz val="11"/>
      <color theme="1"/>
      <name val="Calibri"/>
      <family val="2"/>
      <scheme val="minor"/>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name val="Calibri"/>
      <family val="2"/>
    </font>
    <font>
      <sz val="9"/>
      <color theme="1"/>
      <name val="Arial"/>
      <family val="2"/>
    </font>
    <font>
      <b/>
      <sz val="9"/>
      <color theme="1"/>
      <name val="Arial"/>
      <family val="2"/>
    </font>
    <font>
      <sz val="9"/>
      <name val="Arial"/>
      <family val="2"/>
    </font>
    <font>
      <sz val="9"/>
      <color rgb="FFFF0000"/>
      <name val="Arial"/>
      <family val="2"/>
    </font>
    <font>
      <sz val="8"/>
      <color theme="1"/>
      <name val="Arial"/>
      <family val="2"/>
    </font>
    <font>
      <sz val="11"/>
      <color theme="1"/>
      <name val="Arial Narrow"/>
      <family val="2"/>
    </font>
    <font>
      <b/>
      <sz val="14"/>
      <color theme="1"/>
      <name val="Arial Narrow"/>
      <family val="2"/>
    </font>
    <font>
      <b/>
      <sz val="11"/>
      <color theme="1"/>
      <name val="Arial Narrow"/>
      <family val="2"/>
    </font>
    <font>
      <sz val="11"/>
      <color rgb="FF0000FF"/>
      <name val="Arial Narrow"/>
      <family val="2"/>
    </font>
    <font>
      <sz val="11"/>
      <name val="Arial Narrow"/>
      <family val="2"/>
    </font>
    <font>
      <b/>
      <sz val="11"/>
      <color rgb="FF0000FF"/>
      <name val="Arial Narrow"/>
      <family val="2"/>
    </font>
    <font>
      <i/>
      <sz val="11"/>
      <color theme="1"/>
      <name val="Arial Narrow"/>
      <family val="2"/>
    </font>
    <font>
      <b/>
      <i/>
      <sz val="11"/>
      <color theme="1"/>
      <name val="Arial Narrow"/>
      <family val="2"/>
    </font>
    <font>
      <b/>
      <sz val="11"/>
      <name val="Arial Narrow"/>
      <family val="2"/>
    </font>
    <font>
      <sz val="10"/>
      <color rgb="FF0000FF"/>
      <name val="Arial Narrow"/>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499984740745262"/>
        <bgColor indexed="64"/>
      </patternFill>
    </fill>
  </fills>
  <borders count="6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ck">
        <color rgb="FFC00000"/>
      </bottom>
      <diagonal/>
    </border>
    <border>
      <left style="thin">
        <color indexed="64"/>
      </left>
      <right style="thin">
        <color indexed="64"/>
      </right>
      <top style="thin">
        <color indexed="64"/>
      </top>
      <bottom style="thick">
        <color rgb="FFC00000"/>
      </bottom>
      <diagonal/>
    </border>
    <border>
      <left style="thin">
        <color indexed="64"/>
      </left>
      <right/>
      <top style="thin">
        <color indexed="64"/>
      </top>
      <bottom style="thick">
        <color rgb="FFC00000"/>
      </bottom>
      <diagonal/>
    </border>
    <border>
      <left/>
      <right style="thin">
        <color indexed="64"/>
      </right>
      <top style="thin">
        <color indexed="64"/>
      </top>
      <bottom style="thick">
        <color rgb="FFC00000"/>
      </bottom>
      <diagonal/>
    </border>
    <border>
      <left style="thin">
        <color indexed="64"/>
      </left>
      <right style="medium">
        <color indexed="64"/>
      </right>
      <top style="thin">
        <color indexed="64"/>
      </top>
      <bottom style="thick">
        <color rgb="FFC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thick">
        <color rgb="FFC00000"/>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ck">
        <color rgb="FFC00000"/>
      </bottom>
      <diagonal/>
    </border>
    <border>
      <left/>
      <right/>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style="thin">
        <color indexed="64"/>
      </right>
      <top style="thick">
        <color rgb="FFC00000"/>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10" fillId="0" borderId="0"/>
  </cellStyleXfs>
  <cellXfs count="330">
    <xf numFmtId="0" fontId="0" fillId="0" borderId="0" xfId="0"/>
    <xf numFmtId="3" fontId="11" fillId="0" borderId="0" xfId="0" applyNumberFormat="1" applyFont="1"/>
    <xf numFmtId="0" fontId="11" fillId="0" borderId="0" xfId="0" applyFont="1"/>
    <xf numFmtId="3" fontId="11" fillId="0" borderId="3" xfId="0" applyNumberFormat="1" applyFont="1" applyBorder="1"/>
    <xf numFmtId="3" fontId="11" fillId="2" borderId="0" xfId="0" applyNumberFormat="1" applyFont="1" applyFill="1"/>
    <xf numFmtId="3" fontId="11" fillId="0" borderId="1" xfId="0" applyNumberFormat="1" applyFont="1" applyFill="1" applyBorder="1"/>
    <xf numFmtId="3" fontId="13" fillId="0" borderId="1" xfId="0" applyNumberFormat="1" applyFont="1" applyFill="1" applyBorder="1"/>
    <xf numFmtId="3" fontId="13" fillId="0" borderId="2" xfId="0" applyNumberFormat="1" applyFont="1" applyFill="1" applyBorder="1"/>
    <xf numFmtId="3" fontId="11" fillId="0" borderId="3" xfId="0" applyNumberFormat="1" applyFont="1" applyFill="1" applyBorder="1"/>
    <xf numFmtId="3" fontId="11" fillId="0" borderId="9" xfId="0" applyNumberFormat="1" applyFont="1" applyFill="1" applyBorder="1"/>
    <xf numFmtId="3" fontId="14" fillId="4" borderId="0" xfId="0" applyNumberFormat="1" applyFont="1" applyFill="1"/>
    <xf numFmtId="3" fontId="11" fillId="4" borderId="0" xfId="0" applyNumberFormat="1" applyFont="1" applyFill="1"/>
    <xf numFmtId="3" fontId="11" fillId="4" borderId="0" xfId="0" applyNumberFormat="1" applyFont="1" applyFill="1" applyBorder="1"/>
    <xf numFmtId="3" fontId="11" fillId="4" borderId="3" xfId="0" applyNumberFormat="1" applyFont="1" applyFill="1" applyBorder="1"/>
    <xf numFmtId="3" fontId="11" fillId="4" borderId="9" xfId="0" applyNumberFormat="1" applyFont="1" applyFill="1" applyBorder="1"/>
    <xf numFmtId="3" fontId="11" fillId="4" borderId="5" xfId="0" applyNumberFormat="1" applyFont="1" applyFill="1" applyBorder="1"/>
    <xf numFmtId="3" fontId="11" fillId="4" borderId="7" xfId="0" applyNumberFormat="1" applyFont="1" applyFill="1" applyBorder="1"/>
    <xf numFmtId="3" fontId="11" fillId="4" borderId="10" xfId="0" applyNumberFormat="1" applyFont="1" applyFill="1" applyBorder="1"/>
    <xf numFmtId="3" fontId="11" fillId="4" borderId="8" xfId="0" applyNumberFormat="1" applyFont="1" applyFill="1" applyBorder="1"/>
    <xf numFmtId="3" fontId="11" fillId="4" borderId="12" xfId="0" applyNumberFormat="1" applyFont="1" applyFill="1" applyBorder="1"/>
    <xf numFmtId="3" fontId="13" fillId="4" borderId="12" xfId="0" applyNumberFormat="1" applyFont="1" applyFill="1" applyBorder="1"/>
    <xf numFmtId="3" fontId="13" fillId="4" borderId="10" xfId="0" applyNumberFormat="1" applyFont="1" applyFill="1" applyBorder="1"/>
    <xf numFmtId="3" fontId="13" fillId="4" borderId="8" xfId="0" applyNumberFormat="1" applyFont="1" applyFill="1" applyBorder="1"/>
    <xf numFmtId="3" fontId="13" fillId="4" borderId="0" xfId="0" applyNumberFormat="1" applyFont="1" applyFill="1" applyBorder="1"/>
    <xf numFmtId="0" fontId="11" fillId="0" borderId="3" xfId="0" applyFont="1" applyFill="1" applyBorder="1"/>
    <xf numFmtId="3" fontId="12" fillId="2" borderId="3" xfId="0" applyNumberFormat="1" applyFont="1" applyFill="1" applyBorder="1" applyAlignment="1">
      <alignment horizontal="center" wrapText="1"/>
    </xf>
    <xf numFmtId="3" fontId="12" fillId="4" borderId="3" xfId="0" applyNumberFormat="1" applyFont="1" applyFill="1" applyBorder="1" applyAlignment="1">
      <alignment horizontal="center" wrapText="1"/>
    </xf>
    <xf numFmtId="3" fontId="13" fillId="4" borderId="6" xfId="0" applyNumberFormat="1" applyFont="1" applyFill="1" applyBorder="1"/>
    <xf numFmtId="3" fontId="11" fillId="4" borderId="1" xfId="0" applyNumberFormat="1" applyFont="1" applyFill="1" applyBorder="1"/>
    <xf numFmtId="3" fontId="12" fillId="0" borderId="3" xfId="0" applyNumberFormat="1" applyFont="1" applyBorder="1" applyAlignment="1">
      <alignment vertical="center" wrapText="1"/>
    </xf>
    <xf numFmtId="3" fontId="12" fillId="4" borderId="3" xfId="0" applyNumberFormat="1" applyFont="1" applyFill="1" applyBorder="1" applyAlignment="1">
      <alignment vertical="center" wrapText="1"/>
    </xf>
    <xf numFmtId="3" fontId="11" fillId="0" borderId="5" xfId="0" applyNumberFormat="1" applyFont="1" applyBorder="1"/>
    <xf numFmtId="3" fontId="11" fillId="0" borderId="9" xfId="0" applyNumberFormat="1" applyFont="1" applyBorder="1"/>
    <xf numFmtId="164" fontId="11" fillId="0" borderId="3" xfId="0" applyNumberFormat="1" applyFont="1" applyFill="1" applyBorder="1" applyAlignment="1">
      <alignment horizontal="left"/>
    </xf>
    <xf numFmtId="164" fontId="11" fillId="0" borderId="0" xfId="0" applyNumberFormat="1" applyFont="1" applyFill="1"/>
    <xf numFmtId="0" fontId="11" fillId="0" borderId="0" xfId="0" applyFont="1" applyFill="1"/>
    <xf numFmtId="3" fontId="11" fillId="0" borderId="11" xfId="0" applyNumberFormat="1" applyFont="1" applyBorder="1"/>
    <xf numFmtId="3" fontId="12" fillId="0" borderId="3" xfId="0" applyNumberFormat="1" applyFont="1" applyBorder="1" applyAlignment="1">
      <alignment vertical="center"/>
    </xf>
    <xf numFmtId="3" fontId="12" fillId="4" borderId="3" xfId="0" applyNumberFormat="1" applyFont="1" applyFill="1" applyBorder="1" applyAlignment="1">
      <alignment vertical="center"/>
    </xf>
    <xf numFmtId="3" fontId="11" fillId="0" borderId="0" xfId="0" applyNumberFormat="1" applyFont="1" applyFill="1"/>
    <xf numFmtId="3" fontId="11" fillId="4" borderId="11" xfId="0" applyNumberFormat="1" applyFont="1" applyFill="1" applyBorder="1"/>
    <xf numFmtId="164" fontId="11" fillId="4" borderId="3" xfId="0" applyNumberFormat="1" applyFont="1" applyFill="1" applyBorder="1"/>
    <xf numFmtId="164" fontId="11" fillId="3" borderId="3" xfId="0" applyNumberFormat="1" applyFont="1" applyFill="1" applyBorder="1" applyAlignment="1">
      <alignment horizontal="left"/>
    </xf>
    <xf numFmtId="3" fontId="15" fillId="0" borderId="0" xfId="0" applyNumberFormat="1" applyFont="1"/>
    <xf numFmtId="164" fontId="15" fillId="0" borderId="0" xfId="0" applyNumberFormat="1" applyFont="1" applyFill="1"/>
    <xf numFmtId="3" fontId="15" fillId="4" borderId="0" xfId="0" applyNumberFormat="1" applyFont="1" applyFill="1"/>
    <xf numFmtId="3" fontId="11" fillId="0" borderId="4" xfId="0" applyNumberFormat="1" applyFont="1" applyBorder="1"/>
    <xf numFmtId="0" fontId="15" fillId="0" borderId="0" xfId="0" applyFont="1"/>
    <xf numFmtId="3" fontId="15" fillId="0" borderId="0" xfId="0" applyNumberFormat="1" applyFont="1" applyFill="1"/>
    <xf numFmtId="3" fontId="11" fillId="4" borderId="4" xfId="0" applyNumberFormat="1" applyFont="1" applyFill="1" applyBorder="1"/>
    <xf numFmtId="3" fontId="14" fillId="0" borderId="9" xfId="0" applyNumberFormat="1" applyFont="1" applyBorder="1"/>
    <xf numFmtId="0" fontId="16" fillId="0" borderId="0" xfId="0" applyFont="1"/>
    <xf numFmtId="3" fontId="16" fillId="0" borderId="0" xfId="0" applyNumberFormat="1" applyFont="1"/>
    <xf numFmtId="3" fontId="16" fillId="0" borderId="0" xfId="0" applyNumberFormat="1" applyFont="1" applyFill="1" applyBorder="1"/>
    <xf numFmtId="0" fontId="16" fillId="0" borderId="0" xfId="0" applyFont="1" applyAlignment="1">
      <alignment horizontal="center"/>
    </xf>
    <xf numFmtId="3" fontId="16" fillId="0" borderId="0" xfId="0" applyNumberFormat="1" applyFont="1" applyFill="1" applyBorder="1" applyAlignment="1">
      <alignment horizontal="center"/>
    </xf>
    <xf numFmtId="3" fontId="16" fillId="0" borderId="0" xfId="0" applyNumberFormat="1" applyFont="1" applyFill="1"/>
    <xf numFmtId="3" fontId="16" fillId="0" borderId="0" xfId="0" applyNumberFormat="1" applyFont="1" applyFill="1" applyAlignment="1">
      <alignment horizontal="center"/>
    </xf>
    <xf numFmtId="0" fontId="16" fillId="0" borderId="0" xfId="0" applyFont="1" applyFill="1" applyAlignment="1">
      <alignment horizontal="left" indent="1"/>
    </xf>
    <xf numFmtId="0" fontId="16" fillId="0" borderId="0" xfId="0" applyFont="1" applyFill="1" applyAlignment="1">
      <alignment horizontal="left" wrapText="1"/>
    </xf>
    <xf numFmtId="3"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xf>
    <xf numFmtId="0" fontId="16" fillId="0" borderId="0" xfId="0" applyFont="1" applyFill="1"/>
    <xf numFmtId="0" fontId="16" fillId="0" borderId="0" xfId="0" applyFont="1" applyFill="1" applyAlignment="1">
      <alignment horizontal="center"/>
    </xf>
    <xf numFmtId="3" fontId="16" fillId="2" borderId="3" xfId="0" applyNumberFormat="1" applyFont="1" applyFill="1" applyBorder="1"/>
    <xf numFmtId="3" fontId="16" fillId="2" borderId="13" xfId="0" applyNumberFormat="1" applyFont="1" applyFill="1" applyBorder="1"/>
    <xf numFmtId="3" fontId="16" fillId="2" borderId="8" xfId="0" applyNumberFormat="1" applyFont="1" applyFill="1" applyBorder="1"/>
    <xf numFmtId="3" fontId="16" fillId="2" borderId="13" xfId="0" applyNumberFormat="1" applyFont="1" applyFill="1" applyBorder="1" applyAlignment="1">
      <alignment horizontal="center" vertical="center"/>
    </xf>
    <xf numFmtId="3" fontId="16" fillId="2" borderId="3" xfId="0" applyNumberFormat="1" applyFont="1" applyFill="1" applyBorder="1" applyAlignment="1">
      <alignment horizontal="center"/>
    </xf>
    <xf numFmtId="3" fontId="19" fillId="2" borderId="13" xfId="0" applyNumberFormat="1" applyFont="1" applyFill="1" applyBorder="1" applyAlignment="1">
      <alignment horizontal="center" vertical="center"/>
    </xf>
    <xf numFmtId="3" fontId="20" fillId="2" borderId="13" xfId="0" applyNumberFormat="1" applyFont="1" applyFill="1" applyBorder="1"/>
    <xf numFmtId="0" fontId="16" fillId="0" borderId="3" xfId="0" applyFont="1" applyBorder="1"/>
    <xf numFmtId="3" fontId="16" fillId="0" borderId="3" xfId="0" applyNumberFormat="1" applyFont="1" applyBorder="1"/>
    <xf numFmtId="0" fontId="16" fillId="0" borderId="27" xfId="0" applyFont="1" applyBorder="1"/>
    <xf numFmtId="0" fontId="16" fillId="0" borderId="1" xfId="0" applyFont="1" applyBorder="1"/>
    <xf numFmtId="3" fontId="16" fillId="0" borderId="23" xfId="0" applyNumberFormat="1" applyFont="1" applyBorder="1"/>
    <xf numFmtId="0" fontId="16" fillId="0" borderId="24" xfId="0" applyFont="1" applyBorder="1"/>
    <xf numFmtId="3" fontId="16" fillId="0" borderId="1" xfId="0" applyNumberFormat="1" applyFont="1" applyBorder="1"/>
    <xf numFmtId="0" fontId="16" fillId="0" borderId="21" xfId="0" applyFont="1" applyBorder="1"/>
    <xf numFmtId="3" fontId="16" fillId="0" borderId="5" xfId="0" applyNumberFormat="1" applyFont="1" applyBorder="1"/>
    <xf numFmtId="3" fontId="16" fillId="0" borderId="21" xfId="0" applyNumberFormat="1" applyFont="1" applyBorder="1"/>
    <xf numFmtId="3" fontId="16" fillId="0" borderId="22" xfId="0" applyNumberFormat="1" applyFont="1" applyBorder="1"/>
    <xf numFmtId="0" fontId="16" fillId="0" borderId="9" xfId="0" applyFont="1" applyBorder="1"/>
    <xf numFmtId="0" fontId="16" fillId="0" borderId="25" xfId="0" applyFont="1" applyBorder="1"/>
    <xf numFmtId="0" fontId="19" fillId="0" borderId="16" xfId="0" applyFont="1" applyBorder="1"/>
    <xf numFmtId="3" fontId="19" fillId="0" borderId="17" xfId="0" applyNumberFormat="1" applyFont="1" applyBorder="1"/>
    <xf numFmtId="3" fontId="19" fillId="0" borderId="13" xfId="0" applyNumberFormat="1" applyFont="1" applyBorder="1"/>
    <xf numFmtId="0" fontId="19" fillId="0" borderId="13" xfId="0" applyFont="1" applyBorder="1"/>
    <xf numFmtId="3" fontId="19" fillId="0" borderId="22" xfId="0" applyNumberFormat="1" applyFont="1" applyBorder="1"/>
    <xf numFmtId="3" fontId="19" fillId="0" borderId="23" xfId="0" applyNumberFormat="1" applyFont="1" applyBorder="1"/>
    <xf numFmtId="0" fontId="19" fillId="0" borderId="23" xfId="0" applyFont="1" applyBorder="1"/>
    <xf numFmtId="0" fontId="16" fillId="3" borderId="1" xfId="0" applyFont="1" applyFill="1" applyBorder="1"/>
    <xf numFmtId="3" fontId="16" fillId="3" borderId="3" xfId="0" applyNumberFormat="1" applyFont="1" applyFill="1" applyBorder="1"/>
    <xf numFmtId="3" fontId="19" fillId="3" borderId="13" xfId="0" applyNumberFormat="1" applyFont="1" applyFill="1" applyBorder="1"/>
    <xf numFmtId="3" fontId="16" fillId="3" borderId="1" xfId="0" applyNumberFormat="1" applyFont="1" applyFill="1" applyBorder="1"/>
    <xf numFmtId="3" fontId="19" fillId="3" borderId="23" xfId="0" applyNumberFormat="1" applyFont="1" applyFill="1" applyBorder="1"/>
    <xf numFmtId="0" fontId="16" fillId="3" borderId="24" xfId="0" applyFont="1" applyFill="1" applyBorder="1"/>
    <xf numFmtId="3" fontId="16" fillId="3" borderId="9" xfId="0" applyNumberFormat="1" applyFont="1" applyFill="1" applyBorder="1"/>
    <xf numFmtId="3" fontId="19" fillId="3" borderId="16" xfId="0" applyNumberFormat="1" applyFont="1" applyFill="1" applyBorder="1"/>
    <xf numFmtId="3" fontId="16" fillId="3" borderId="24" xfId="0" applyNumberFormat="1" applyFont="1" applyFill="1" applyBorder="1"/>
    <xf numFmtId="3" fontId="19" fillId="3" borderId="25" xfId="0" applyNumberFormat="1" applyFont="1" applyFill="1" applyBorder="1"/>
    <xf numFmtId="0" fontId="17" fillId="0" borderId="0" xfId="0" applyFont="1" applyFill="1" applyBorder="1" applyAlignment="1">
      <alignment horizontal="center" vertical="center"/>
    </xf>
    <xf numFmtId="3" fontId="16" fillId="2" borderId="5" xfId="0" applyNumberFormat="1" applyFont="1" applyFill="1" applyBorder="1"/>
    <xf numFmtId="3" fontId="16" fillId="2" borderId="10" xfId="0" applyNumberFormat="1" applyFont="1" applyFill="1" applyBorder="1"/>
    <xf numFmtId="3" fontId="16" fillId="2" borderId="17" xfId="0" applyNumberFormat="1" applyFont="1" applyFill="1" applyBorder="1" applyAlignment="1">
      <alignment horizontal="center" vertical="center"/>
    </xf>
    <xf numFmtId="3" fontId="16" fillId="2" borderId="5" xfId="0" applyNumberFormat="1" applyFont="1" applyFill="1" applyBorder="1" applyAlignment="1">
      <alignment horizontal="center"/>
    </xf>
    <xf numFmtId="3" fontId="18" fillId="5" borderId="33" xfId="0" applyNumberFormat="1" applyFont="1" applyFill="1" applyBorder="1" applyAlignment="1">
      <alignment horizontal="center" wrapText="1"/>
    </xf>
    <xf numFmtId="3" fontId="18" fillId="5" borderId="19" xfId="0" applyNumberFormat="1" applyFont="1" applyFill="1" applyBorder="1" applyAlignment="1">
      <alignment horizontal="center"/>
    </xf>
    <xf numFmtId="3" fontId="18" fillId="5" borderId="28" xfId="0" applyNumberFormat="1" applyFont="1" applyFill="1" applyBorder="1" applyAlignment="1">
      <alignment horizontal="center" vertical="center" wrapText="1"/>
    </xf>
    <xf numFmtId="3" fontId="18" fillId="5" borderId="29" xfId="0" applyNumberFormat="1" applyFont="1" applyFill="1" applyBorder="1" applyAlignment="1">
      <alignment horizontal="center" vertical="center" wrapText="1"/>
    </xf>
    <xf numFmtId="164" fontId="16" fillId="5" borderId="35" xfId="0" applyNumberFormat="1" applyFont="1" applyFill="1" applyBorder="1" applyAlignment="1">
      <alignment horizontal="left"/>
    </xf>
    <xf numFmtId="0" fontId="18" fillId="5" borderId="9" xfId="0" applyFont="1" applyFill="1" applyBorder="1" applyAlignment="1">
      <alignment horizontal="center"/>
    </xf>
    <xf numFmtId="0" fontId="18" fillId="5" borderId="25" xfId="0" applyFont="1" applyFill="1" applyBorder="1" applyAlignment="1">
      <alignment horizontal="center"/>
    </xf>
    <xf numFmtId="0" fontId="16" fillId="2" borderId="27" xfId="0" applyFont="1" applyFill="1" applyBorder="1" applyAlignment="1">
      <alignment horizontal="left" indent="1"/>
    </xf>
    <xf numFmtId="3" fontId="16" fillId="2" borderId="28" xfId="0" applyNumberFormat="1" applyFont="1" applyFill="1" applyBorder="1"/>
    <xf numFmtId="3" fontId="16" fillId="2" borderId="30" xfId="0" applyNumberFormat="1" applyFont="1" applyFill="1" applyBorder="1"/>
    <xf numFmtId="3" fontId="16" fillId="2" borderId="36" xfId="0" applyNumberFormat="1" applyFont="1" applyFill="1" applyBorder="1"/>
    <xf numFmtId="3" fontId="16" fillId="2" borderId="30" xfId="0" applyNumberFormat="1" applyFont="1" applyFill="1" applyBorder="1" applyAlignment="1">
      <alignment horizontal="center" vertical="center"/>
    </xf>
    <xf numFmtId="3" fontId="16" fillId="2" borderId="28" xfId="0" applyNumberFormat="1" applyFont="1" applyFill="1" applyBorder="1" applyAlignment="1">
      <alignment horizontal="center"/>
    </xf>
    <xf numFmtId="0" fontId="16" fillId="2" borderId="1" xfId="0" applyFont="1" applyFill="1" applyBorder="1" applyAlignment="1">
      <alignment horizontal="left" indent="1"/>
    </xf>
    <xf numFmtId="0" fontId="20" fillId="2" borderId="1" xfId="0" applyFont="1" applyFill="1" applyBorder="1" applyAlignment="1">
      <alignment horizontal="left" indent="1"/>
    </xf>
    <xf numFmtId="49" fontId="20" fillId="2" borderId="1" xfId="0" applyNumberFormat="1" applyFont="1" applyFill="1" applyBorder="1" applyAlignment="1">
      <alignment horizontal="left" indent="1"/>
    </xf>
    <xf numFmtId="3" fontId="16" fillId="0" borderId="3" xfId="0" applyNumberFormat="1" applyFont="1" applyFill="1" applyBorder="1" applyAlignment="1">
      <alignment horizontal="right" indent="2"/>
    </xf>
    <xf numFmtId="3" fontId="20" fillId="0" borderId="3" xfId="0" applyNumberFormat="1" applyFont="1" applyFill="1" applyBorder="1" applyAlignment="1">
      <alignment horizontal="right" indent="2"/>
    </xf>
    <xf numFmtId="3" fontId="16" fillId="0" borderId="5" xfId="0" applyNumberFormat="1" applyFont="1" applyFill="1" applyBorder="1" applyAlignment="1">
      <alignment horizontal="right" indent="2"/>
    </xf>
    <xf numFmtId="0" fontId="20" fillId="2" borderId="21" xfId="0" applyNumberFormat="1" applyFont="1" applyFill="1" applyBorder="1" applyAlignment="1">
      <alignment horizontal="left" indent="1"/>
    </xf>
    <xf numFmtId="3" fontId="20" fillId="2" borderId="17" xfId="0" applyNumberFormat="1" applyFont="1" applyFill="1" applyBorder="1"/>
    <xf numFmtId="49" fontId="20" fillId="2" borderId="37" xfId="0" applyNumberFormat="1" applyFont="1" applyFill="1" applyBorder="1" applyAlignment="1">
      <alignment horizontal="left" indent="1"/>
    </xf>
    <xf numFmtId="3" fontId="20" fillId="2" borderId="39" xfId="0" applyNumberFormat="1" applyFont="1" applyFill="1" applyBorder="1"/>
    <xf numFmtId="3" fontId="16" fillId="2" borderId="40" xfId="0" applyNumberFormat="1" applyFont="1" applyFill="1" applyBorder="1"/>
    <xf numFmtId="3" fontId="16" fillId="2" borderId="38" xfId="0" applyNumberFormat="1" applyFont="1" applyFill="1" applyBorder="1"/>
    <xf numFmtId="3" fontId="16" fillId="2" borderId="39" xfId="0" applyNumberFormat="1" applyFont="1" applyFill="1" applyBorder="1" applyAlignment="1">
      <alignment horizontal="center" vertical="center"/>
    </xf>
    <xf numFmtId="3" fontId="16" fillId="2" borderId="38" xfId="0" applyNumberFormat="1" applyFont="1" applyFill="1" applyBorder="1" applyAlignment="1">
      <alignment horizontal="center"/>
    </xf>
    <xf numFmtId="3" fontId="16" fillId="0" borderId="5" xfId="0" applyNumberFormat="1" applyFont="1" applyBorder="1" applyAlignment="1">
      <alignment horizontal="center"/>
    </xf>
    <xf numFmtId="3" fontId="16" fillId="0" borderId="38" xfId="0" applyNumberFormat="1" applyFont="1" applyFill="1" applyBorder="1" applyAlignment="1">
      <alignment horizontal="right" indent="2"/>
    </xf>
    <xf numFmtId="0" fontId="16" fillId="0" borderId="17" xfId="0" applyFont="1" applyBorder="1" applyAlignment="1">
      <alignment horizontal="center"/>
    </xf>
    <xf numFmtId="0" fontId="16" fillId="0" borderId="13" xfId="0" applyFont="1" applyBorder="1" applyAlignment="1">
      <alignment horizontal="center"/>
    </xf>
    <xf numFmtId="0" fontId="16" fillId="0" borderId="13" xfId="0" applyFont="1" applyFill="1" applyBorder="1"/>
    <xf numFmtId="3" fontId="16" fillId="0" borderId="13" xfId="0" applyNumberFormat="1" applyFont="1" applyBorder="1" applyAlignment="1">
      <alignment horizontal="right" indent="2"/>
    </xf>
    <xf numFmtId="0" fontId="16" fillId="0" borderId="39" xfId="0" applyFont="1" applyBorder="1" applyAlignment="1">
      <alignment horizontal="center"/>
    </xf>
    <xf numFmtId="3" fontId="16" fillId="0" borderId="23" xfId="0" applyNumberFormat="1" applyFont="1" applyFill="1" applyBorder="1"/>
    <xf numFmtId="3" fontId="16" fillId="0" borderId="41" xfId="0" applyNumberFormat="1" applyFont="1" applyBorder="1"/>
    <xf numFmtId="3" fontId="16" fillId="6" borderId="5" xfId="0" applyNumberFormat="1" applyFont="1" applyFill="1" applyBorder="1" applyAlignment="1">
      <alignment horizontal="center"/>
    </xf>
    <xf numFmtId="3" fontId="18" fillId="3" borderId="19" xfId="0" applyNumberFormat="1" applyFont="1" applyFill="1" applyBorder="1" applyAlignment="1">
      <alignment horizontal="center" vertical="center"/>
    </xf>
    <xf numFmtId="3" fontId="18" fillId="3" borderId="19" xfId="0" applyNumberFormat="1" applyFont="1" applyFill="1" applyBorder="1" applyAlignment="1">
      <alignment horizontal="center" vertical="center" wrapText="1"/>
    </xf>
    <xf numFmtId="3" fontId="18" fillId="3" borderId="33" xfId="0" applyNumberFormat="1" applyFont="1" applyFill="1" applyBorder="1" applyAlignment="1">
      <alignment horizontal="center" vertical="center" wrapText="1"/>
    </xf>
    <xf numFmtId="3" fontId="18" fillId="3" borderId="20" xfId="0" applyNumberFormat="1" applyFont="1" applyFill="1" applyBorder="1" applyAlignment="1">
      <alignment horizontal="center" vertical="center" wrapText="1"/>
    </xf>
    <xf numFmtId="3" fontId="16" fillId="2" borderId="10" xfId="0" quotePrefix="1" applyNumberFormat="1" applyFont="1" applyFill="1" applyBorder="1"/>
    <xf numFmtId="3" fontId="16" fillId="2" borderId="47" xfId="0" quotePrefix="1" applyNumberFormat="1" applyFont="1" applyFill="1" applyBorder="1"/>
    <xf numFmtId="3" fontId="16" fillId="2" borderId="47" xfId="0" applyNumberFormat="1" applyFont="1" applyFill="1" applyBorder="1"/>
    <xf numFmtId="3" fontId="16" fillId="2" borderId="48" xfId="0" applyNumberFormat="1" applyFont="1" applyFill="1" applyBorder="1"/>
    <xf numFmtId="3" fontId="16" fillId="2" borderId="48" xfId="0" quotePrefix="1" applyNumberFormat="1" applyFont="1" applyFill="1" applyBorder="1"/>
    <xf numFmtId="3" fontId="21" fillId="2" borderId="8" xfId="0" applyNumberFormat="1" applyFont="1" applyFill="1" applyBorder="1"/>
    <xf numFmtId="3" fontId="20" fillId="2" borderId="48" xfId="0" applyNumberFormat="1" applyFont="1" applyFill="1" applyBorder="1"/>
    <xf numFmtId="3" fontId="20" fillId="2" borderId="8" xfId="0" applyNumberFormat="1" applyFont="1" applyFill="1" applyBorder="1"/>
    <xf numFmtId="3" fontId="20" fillId="2" borderId="48" xfId="0" quotePrefix="1" applyNumberFormat="1" applyFont="1" applyFill="1" applyBorder="1"/>
    <xf numFmtId="3" fontId="20" fillId="2" borderId="8" xfId="0" quotePrefix="1" applyNumberFormat="1" applyFont="1" applyFill="1" applyBorder="1"/>
    <xf numFmtId="3" fontId="20" fillId="2" borderId="49" xfId="0" applyNumberFormat="1" applyFont="1" applyFill="1" applyBorder="1"/>
    <xf numFmtId="3" fontId="20" fillId="2" borderId="40" xfId="0" applyNumberFormat="1" applyFont="1" applyFill="1" applyBorder="1"/>
    <xf numFmtId="0" fontId="17" fillId="0" borderId="7" xfId="0" applyFont="1" applyFill="1" applyBorder="1" applyAlignment="1">
      <alignment horizontal="center" vertical="center"/>
    </xf>
    <xf numFmtId="0" fontId="20" fillId="0" borderId="1" xfId="0" applyFont="1" applyFill="1" applyBorder="1" applyAlignment="1">
      <alignment horizontal="left" indent="1"/>
    </xf>
    <xf numFmtId="3" fontId="20" fillId="0" borderId="13" xfId="0" applyNumberFormat="1" applyFont="1" applyFill="1" applyBorder="1"/>
    <xf numFmtId="3" fontId="16" fillId="0" borderId="8" xfId="0" applyNumberFormat="1" applyFont="1" applyFill="1" applyBorder="1"/>
    <xf numFmtId="3" fontId="16" fillId="0" borderId="3" xfId="0" applyNumberFormat="1" applyFont="1" applyFill="1" applyBorder="1"/>
    <xf numFmtId="3" fontId="16" fillId="0" borderId="13" xfId="0" applyNumberFormat="1" applyFont="1" applyFill="1" applyBorder="1" applyAlignment="1">
      <alignment horizontal="center" vertical="center"/>
    </xf>
    <xf numFmtId="3" fontId="16" fillId="0" borderId="3" xfId="0" applyNumberFormat="1" applyFont="1" applyFill="1" applyBorder="1" applyAlignment="1">
      <alignment horizontal="center"/>
    </xf>
    <xf numFmtId="3" fontId="16" fillId="0" borderId="23" xfId="0" applyNumberFormat="1" applyFont="1" applyFill="1" applyBorder="1" applyAlignment="1">
      <alignment horizontal="center"/>
    </xf>
    <xf numFmtId="3" fontId="18" fillId="5" borderId="30" xfId="0" applyNumberFormat="1" applyFont="1" applyFill="1" applyBorder="1" applyAlignment="1">
      <alignment horizontal="center" vertical="center" wrapText="1"/>
    </xf>
    <xf numFmtId="0" fontId="18" fillId="5" borderId="16" xfId="0" applyFont="1" applyFill="1" applyBorder="1" applyAlignment="1">
      <alignment horizontal="center"/>
    </xf>
    <xf numFmtId="3" fontId="16" fillId="2" borderId="30" xfId="0" applyNumberFormat="1" applyFont="1" applyFill="1" applyBorder="1" applyAlignment="1">
      <alignment horizontal="center"/>
    </xf>
    <xf numFmtId="3" fontId="16" fillId="2" borderId="13" xfId="0" applyNumberFormat="1" applyFont="1" applyFill="1" applyBorder="1" applyAlignment="1">
      <alignment horizontal="center"/>
    </xf>
    <xf numFmtId="3" fontId="16" fillId="0" borderId="13" xfId="0" applyNumberFormat="1" applyFont="1" applyFill="1" applyBorder="1" applyAlignment="1">
      <alignment horizontal="center"/>
    </xf>
    <xf numFmtId="3" fontId="16" fillId="2" borderId="39" xfId="0" applyNumberFormat="1" applyFont="1" applyFill="1" applyBorder="1" applyAlignment="1">
      <alignment horizontal="center"/>
    </xf>
    <xf numFmtId="3" fontId="16" fillId="2" borderId="17" xfId="0" applyNumberFormat="1" applyFont="1" applyFill="1" applyBorder="1" applyAlignment="1">
      <alignment horizontal="center"/>
    </xf>
    <xf numFmtId="3" fontId="16" fillId="0" borderId="22" xfId="0" applyNumberFormat="1" applyFont="1" applyFill="1" applyBorder="1" applyAlignment="1">
      <alignment horizontal="center"/>
    </xf>
    <xf numFmtId="3" fontId="16" fillId="0" borderId="41" xfId="0" applyNumberFormat="1" applyFont="1" applyFill="1" applyBorder="1" applyAlignment="1">
      <alignment horizontal="center"/>
    </xf>
    <xf numFmtId="3" fontId="18" fillId="5" borderId="9" xfId="0" applyNumberFormat="1" applyFont="1" applyFill="1" applyBorder="1" applyAlignment="1">
      <alignment horizontal="center" vertical="center"/>
    </xf>
    <xf numFmtId="3" fontId="16" fillId="2" borderId="28" xfId="0" quotePrefix="1" applyNumberFormat="1" applyFont="1" applyFill="1" applyBorder="1" applyAlignment="1">
      <alignment horizontal="center"/>
    </xf>
    <xf numFmtId="3" fontId="16" fillId="2" borderId="3" xfId="0" quotePrefix="1" applyNumberFormat="1" applyFont="1" applyFill="1" applyBorder="1" applyAlignment="1">
      <alignment horizontal="center"/>
    </xf>
    <xf numFmtId="164" fontId="24" fillId="5" borderId="15" xfId="0" applyNumberFormat="1" applyFont="1" applyFill="1" applyBorder="1" applyAlignment="1">
      <alignment horizontal="center" vertical="center"/>
    </xf>
    <xf numFmtId="164" fontId="18" fillId="5" borderId="53" xfId="0" applyNumberFormat="1" applyFont="1" applyFill="1" applyBorder="1" applyAlignment="1">
      <alignment vertical="center"/>
    </xf>
    <xf numFmtId="3" fontId="18" fillId="5" borderId="20" xfId="0" applyNumberFormat="1" applyFont="1" applyFill="1" applyBorder="1" applyAlignment="1">
      <alignment horizontal="center" vertical="center" wrapText="1"/>
    </xf>
    <xf numFmtId="3" fontId="18" fillId="5" borderId="25" xfId="0" applyNumberFormat="1" applyFont="1" applyFill="1" applyBorder="1" applyAlignment="1">
      <alignment horizontal="center" vertical="center" wrapText="1"/>
    </xf>
    <xf numFmtId="3" fontId="16" fillId="2" borderId="29" xfId="0" applyNumberFormat="1" applyFont="1" applyFill="1" applyBorder="1"/>
    <xf numFmtId="3" fontId="16" fillId="2" borderId="23" xfId="0" applyNumberFormat="1" applyFont="1" applyFill="1" applyBorder="1"/>
    <xf numFmtId="3" fontId="16" fillId="2" borderId="41" xfId="0" applyNumberFormat="1" applyFont="1" applyFill="1" applyBorder="1"/>
    <xf numFmtId="3" fontId="16" fillId="2" borderId="22" xfId="0" applyNumberFormat="1" applyFont="1" applyFill="1" applyBorder="1"/>
    <xf numFmtId="0" fontId="18" fillId="5" borderId="54" xfId="0" applyFont="1" applyFill="1" applyBorder="1" applyAlignment="1">
      <alignment horizontal="center" vertical="center" wrapText="1"/>
    </xf>
    <xf numFmtId="0" fontId="18" fillId="5" borderId="53" xfId="0" applyFont="1" applyFill="1" applyBorder="1" applyAlignment="1">
      <alignment horizontal="center" vertical="center"/>
    </xf>
    <xf numFmtId="0" fontId="16" fillId="2" borderId="54" xfId="0" quotePrefix="1" applyFont="1" applyFill="1" applyBorder="1" applyAlignment="1">
      <alignment horizontal="center"/>
    </xf>
    <xf numFmtId="0" fontId="16" fillId="2" borderId="14" xfId="0" quotePrefix="1" applyFont="1" applyFill="1" applyBorder="1" applyAlignment="1">
      <alignment horizontal="center"/>
    </xf>
    <xf numFmtId="0" fontId="16" fillId="2" borderId="14" xfId="0" applyFont="1" applyFill="1" applyBorder="1" applyAlignment="1">
      <alignment horizontal="center"/>
    </xf>
    <xf numFmtId="0" fontId="16" fillId="0" borderId="14" xfId="0" applyFont="1" applyFill="1" applyBorder="1" applyAlignment="1">
      <alignment horizontal="center"/>
    </xf>
    <xf numFmtId="0" fontId="16" fillId="2" borderId="55" xfId="0" applyFont="1" applyFill="1" applyBorder="1" applyAlignment="1">
      <alignment horizontal="center"/>
    </xf>
    <xf numFmtId="0" fontId="16" fillId="2" borderId="56" xfId="0" applyFont="1" applyFill="1" applyBorder="1" applyAlignment="1">
      <alignment horizontal="center"/>
    </xf>
    <xf numFmtId="3" fontId="18" fillId="5" borderId="36" xfId="0" applyNumberFormat="1" applyFont="1" applyFill="1" applyBorder="1" applyAlignment="1">
      <alignment horizontal="center" vertical="center" wrapText="1"/>
    </xf>
    <xf numFmtId="0" fontId="18" fillId="5" borderId="15" xfId="0" applyFont="1" applyFill="1" applyBorder="1" applyAlignment="1">
      <alignment horizontal="center"/>
    </xf>
    <xf numFmtId="3" fontId="16" fillId="0" borderId="8" xfId="0" applyNumberFormat="1" applyFont="1" applyBorder="1"/>
    <xf numFmtId="3" fontId="18" fillId="5" borderId="27" xfId="0" applyNumberFormat="1" applyFont="1" applyFill="1" applyBorder="1" applyAlignment="1">
      <alignment horizontal="center" vertical="center" wrapText="1"/>
    </xf>
    <xf numFmtId="3" fontId="18" fillId="5" borderId="24" xfId="0" applyNumberFormat="1" applyFont="1" applyFill="1" applyBorder="1" applyAlignment="1">
      <alignment horizontal="center" vertical="center"/>
    </xf>
    <xf numFmtId="3" fontId="18" fillId="5" borderId="25" xfId="0" applyNumberFormat="1" applyFont="1" applyFill="1" applyBorder="1" applyAlignment="1">
      <alignment horizontal="center"/>
    </xf>
    <xf numFmtId="3" fontId="16" fillId="2" borderId="27" xfId="0" quotePrefix="1" applyNumberFormat="1" applyFont="1" applyFill="1" applyBorder="1" applyAlignment="1">
      <alignment horizontal="center"/>
    </xf>
    <xf numFmtId="3" fontId="16" fillId="2" borderId="1" xfId="0" quotePrefix="1" applyNumberFormat="1" applyFont="1" applyFill="1" applyBorder="1" applyAlignment="1">
      <alignment horizontal="center"/>
    </xf>
    <xf numFmtId="3" fontId="16" fillId="2" borderId="1" xfId="0" applyNumberFormat="1" applyFont="1" applyFill="1" applyBorder="1" applyAlignment="1">
      <alignment horizontal="center"/>
    </xf>
    <xf numFmtId="3" fontId="16" fillId="0" borderId="1" xfId="0" applyNumberFormat="1" applyFont="1" applyFill="1" applyBorder="1" applyAlignment="1">
      <alignment horizontal="center"/>
    </xf>
    <xf numFmtId="3" fontId="16" fillId="2" borderId="37" xfId="0" applyNumberFormat="1" applyFont="1" applyFill="1" applyBorder="1" applyAlignment="1">
      <alignment horizontal="center"/>
    </xf>
    <xf numFmtId="3" fontId="16" fillId="2" borderId="21" xfId="0" applyNumberFormat="1" applyFont="1" applyFill="1" applyBorder="1" applyAlignment="1">
      <alignment horizontal="center"/>
    </xf>
    <xf numFmtId="3" fontId="18" fillId="5" borderId="34" xfId="0" applyNumberFormat="1" applyFont="1" applyFill="1" applyBorder="1" applyAlignment="1">
      <alignment horizontal="center" vertical="center" wrapText="1"/>
    </xf>
    <xf numFmtId="3" fontId="25" fillId="5" borderId="33" xfId="0" applyNumberFormat="1" applyFont="1" applyFill="1" applyBorder="1" applyAlignment="1">
      <alignment horizontal="center"/>
    </xf>
    <xf numFmtId="3" fontId="25" fillId="5" borderId="57" xfId="0" applyNumberFormat="1" applyFont="1" applyFill="1" applyBorder="1" applyAlignment="1">
      <alignment horizontal="center" wrapText="1"/>
    </xf>
    <xf numFmtId="164" fontId="18" fillId="5" borderId="50" xfId="0" applyNumberFormat="1" applyFont="1" applyFill="1" applyBorder="1" applyAlignment="1">
      <alignment vertical="center"/>
    </xf>
    <xf numFmtId="3" fontId="16" fillId="2" borderId="31" xfId="0" applyNumberFormat="1" applyFont="1" applyFill="1" applyBorder="1"/>
    <xf numFmtId="3" fontId="19" fillId="2" borderId="48" xfId="0" applyNumberFormat="1" applyFont="1" applyFill="1" applyBorder="1"/>
    <xf numFmtId="3" fontId="20" fillId="0" borderId="48" xfId="0" applyNumberFormat="1" applyFont="1" applyFill="1" applyBorder="1"/>
    <xf numFmtId="3" fontId="20" fillId="2" borderId="47" xfId="0" applyNumberFormat="1" applyFont="1" applyFill="1" applyBorder="1"/>
    <xf numFmtId="3" fontId="16" fillId="2" borderId="60" xfId="0" quotePrefix="1" applyNumberFormat="1" applyFont="1" applyFill="1" applyBorder="1"/>
    <xf numFmtId="3" fontId="16" fillId="2" borderId="7" xfId="0" quotePrefix="1" applyNumberFormat="1" applyFont="1" applyFill="1" applyBorder="1"/>
    <xf numFmtId="3" fontId="16" fillId="0" borderId="51" xfId="0" applyNumberFormat="1" applyFont="1" applyBorder="1" applyAlignment="1">
      <alignment horizontal="center"/>
    </xf>
    <xf numFmtId="3" fontId="16" fillId="6" borderId="51" xfId="0" applyNumberFormat="1" applyFont="1" applyFill="1" applyBorder="1" applyAlignment="1">
      <alignment horizontal="center"/>
    </xf>
    <xf numFmtId="3" fontId="16" fillId="0" borderId="61" xfId="0" applyNumberFormat="1" applyFont="1" applyBorder="1"/>
    <xf numFmtId="3" fontId="8" fillId="2" borderId="62" xfId="0" quotePrefix="1" applyNumberFormat="1" applyFont="1" applyFill="1" applyBorder="1"/>
    <xf numFmtId="3" fontId="16" fillId="2" borderId="12" xfId="0" quotePrefix="1" applyNumberFormat="1" applyFont="1" applyFill="1" applyBorder="1"/>
    <xf numFmtId="3" fontId="16" fillId="0" borderId="4" xfId="0" applyNumberFormat="1" applyFont="1" applyBorder="1" applyAlignment="1">
      <alignment horizontal="center"/>
    </xf>
    <xf numFmtId="3" fontId="16" fillId="6" borderId="4" xfId="0" applyNumberFormat="1" applyFont="1" applyFill="1" applyBorder="1" applyAlignment="1">
      <alignment horizontal="center"/>
    </xf>
    <xf numFmtId="0" fontId="20" fillId="2" borderId="2" xfId="0" applyNumberFormat="1" applyFont="1" applyFill="1" applyBorder="1" applyAlignment="1">
      <alignment horizontal="left" indent="1"/>
    </xf>
    <xf numFmtId="3" fontId="20" fillId="2" borderId="58" xfId="0" applyNumberFormat="1" applyFont="1" applyFill="1" applyBorder="1"/>
    <xf numFmtId="3" fontId="20" fillId="2" borderId="62" xfId="0" applyNumberFormat="1" applyFont="1" applyFill="1" applyBorder="1"/>
    <xf numFmtId="3" fontId="16" fillId="2" borderId="12" xfId="0" applyNumberFormat="1" applyFont="1" applyFill="1" applyBorder="1"/>
    <xf numFmtId="3" fontId="16" fillId="2" borderId="4" xfId="0" applyNumberFormat="1" applyFont="1" applyFill="1" applyBorder="1"/>
    <xf numFmtId="3" fontId="16" fillId="2" borderId="58" xfId="0" applyNumberFormat="1" applyFont="1" applyFill="1" applyBorder="1" applyAlignment="1">
      <alignment horizontal="center" vertical="center"/>
    </xf>
    <xf numFmtId="3" fontId="16" fillId="2" borderId="52" xfId="0" applyNumberFormat="1" applyFont="1" applyFill="1" applyBorder="1"/>
    <xf numFmtId="0" fontId="16" fillId="2" borderId="6" xfId="0" applyFont="1" applyFill="1" applyBorder="1" applyAlignment="1">
      <alignment horizontal="center"/>
    </xf>
    <xf numFmtId="3" fontId="16" fillId="2" borderId="2" xfId="0" applyNumberFormat="1" applyFont="1" applyFill="1" applyBorder="1" applyAlignment="1">
      <alignment horizontal="center"/>
    </xf>
    <xf numFmtId="3" fontId="16" fillId="2" borderId="4" xfId="0" applyNumberFormat="1" applyFont="1" applyFill="1" applyBorder="1" applyAlignment="1">
      <alignment horizontal="center"/>
    </xf>
    <xf numFmtId="3" fontId="16" fillId="2" borderId="58" xfId="0" applyNumberFormat="1" applyFont="1" applyFill="1" applyBorder="1" applyAlignment="1">
      <alignment horizontal="center"/>
    </xf>
    <xf numFmtId="3" fontId="16" fillId="0" borderId="52" xfId="0" applyNumberFormat="1" applyFont="1" applyFill="1" applyBorder="1" applyAlignment="1">
      <alignment horizontal="center"/>
    </xf>
    <xf numFmtId="3" fontId="16" fillId="0" borderId="7" xfId="0" applyNumberFormat="1" applyFont="1" applyBorder="1"/>
    <xf numFmtId="3" fontId="16" fillId="2" borderId="63" xfId="0" applyNumberFormat="1" applyFont="1" applyFill="1" applyBorder="1"/>
    <xf numFmtId="0" fontId="16" fillId="2" borderId="0" xfId="0" applyFont="1" applyFill="1"/>
    <xf numFmtId="0" fontId="18" fillId="2" borderId="0" xfId="0" applyFont="1" applyFill="1" applyAlignment="1">
      <alignment horizontal="left"/>
    </xf>
    <xf numFmtId="3" fontId="16" fillId="2" borderId="0" xfId="0" applyNumberFormat="1" applyFont="1" applyFill="1"/>
    <xf numFmtId="3" fontId="16" fillId="2" borderId="0" xfId="0" applyNumberFormat="1" applyFont="1" applyFill="1" applyBorder="1"/>
    <xf numFmtId="3" fontId="16" fillId="2" borderId="0" xfId="0" applyNumberFormat="1" applyFont="1" applyFill="1" applyAlignment="1">
      <alignment horizontal="center"/>
    </xf>
    <xf numFmtId="0" fontId="16" fillId="2" borderId="0" xfId="0" applyFont="1" applyFill="1" applyAlignment="1">
      <alignment horizontal="center"/>
    </xf>
    <xf numFmtId="0" fontId="16" fillId="2" borderId="0" xfId="0" applyFont="1" applyFill="1" applyAlignment="1">
      <alignment horizontal="left"/>
    </xf>
    <xf numFmtId="0" fontId="20" fillId="2" borderId="0" xfId="0" applyFont="1" applyFill="1" applyBorder="1" applyAlignment="1">
      <alignment horizontal="left"/>
    </xf>
    <xf numFmtId="0" fontId="16" fillId="2" borderId="0" xfId="0" applyFont="1" applyFill="1" applyAlignment="1">
      <alignment horizontal="left" indent="1"/>
    </xf>
    <xf numFmtId="3" fontId="9" fillId="2" borderId="0" xfId="0" applyNumberFormat="1" applyFont="1" applyFill="1"/>
    <xf numFmtId="0" fontId="9" fillId="2" borderId="0" xfId="0" applyFont="1" applyFill="1" applyAlignment="1">
      <alignment horizontal="left"/>
    </xf>
    <xf numFmtId="3" fontId="23" fillId="2" borderId="0" xfId="0" applyNumberFormat="1" applyFont="1" applyFill="1"/>
    <xf numFmtId="3" fontId="22" fillId="2" borderId="0" xfId="0" applyNumberFormat="1" applyFont="1" applyFill="1"/>
    <xf numFmtId="0" fontId="20" fillId="2" borderId="1" xfId="0" applyNumberFormat="1" applyFont="1" applyFill="1" applyBorder="1" applyAlignment="1">
      <alignment horizontal="left" indent="1"/>
    </xf>
    <xf numFmtId="3" fontId="6" fillId="0" borderId="0" xfId="0" applyNumberFormat="1" applyFont="1"/>
    <xf numFmtId="0" fontId="5" fillId="2" borderId="0" xfId="0" applyFont="1" applyFill="1" applyAlignment="1">
      <alignment horizontal="left"/>
    </xf>
    <xf numFmtId="3" fontId="16" fillId="2" borderId="1" xfId="0" applyNumberFormat="1" applyFont="1" applyFill="1" applyBorder="1"/>
    <xf numFmtId="0" fontId="17" fillId="0" borderId="0" xfId="0" applyFont="1" applyFill="1" applyBorder="1" applyAlignment="1">
      <alignment horizontal="center" vertical="center"/>
    </xf>
    <xf numFmtId="0" fontId="16" fillId="2" borderId="0" xfId="0" applyFont="1" applyFill="1" applyAlignment="1">
      <alignment horizontal="left" wrapText="1"/>
    </xf>
    <xf numFmtId="0" fontId="18" fillId="2" borderId="6" xfId="0" applyFont="1" applyFill="1" applyBorder="1" applyAlignment="1">
      <alignment horizontal="left"/>
    </xf>
    <xf numFmtId="3" fontId="16" fillId="2" borderId="6" xfId="0" applyNumberFormat="1" applyFont="1" applyFill="1" applyBorder="1"/>
    <xf numFmtId="3" fontId="16" fillId="2" borderId="6" xfId="0" applyNumberFormat="1" applyFont="1" applyFill="1" applyBorder="1" applyAlignment="1">
      <alignment horizontal="center"/>
    </xf>
    <xf numFmtId="0" fontId="16" fillId="2" borderId="6" xfId="0" applyFont="1" applyFill="1" applyBorder="1"/>
    <xf numFmtId="0" fontId="6" fillId="2" borderId="0" xfId="0" applyFont="1" applyFill="1" applyAlignment="1">
      <alignment horizontal="right" indent="1"/>
    </xf>
    <xf numFmtId="3" fontId="4" fillId="0" borderId="0" xfId="0" applyNumberFormat="1" applyFont="1" applyFill="1"/>
    <xf numFmtId="3" fontId="3" fillId="0" borderId="0" xfId="0" applyNumberFormat="1" applyFont="1"/>
    <xf numFmtId="3" fontId="2" fillId="0" borderId="9" xfId="0" applyNumberFormat="1" applyFont="1" applyBorder="1" applyAlignment="1">
      <alignment horizontal="center"/>
    </xf>
    <xf numFmtId="3" fontId="2" fillId="6" borderId="9" xfId="0" applyNumberFormat="1" applyFont="1" applyFill="1" applyBorder="1" applyAlignment="1">
      <alignment horizontal="center"/>
    </xf>
    <xf numFmtId="0" fontId="2" fillId="0" borderId="0" xfId="0" applyFont="1"/>
    <xf numFmtId="3" fontId="2" fillId="2" borderId="48" xfId="0" quotePrefix="1" applyNumberFormat="1" applyFont="1" applyFill="1" applyBorder="1"/>
    <xf numFmtId="3" fontId="2" fillId="2" borderId="8" xfId="0" quotePrefix="1" applyNumberFormat="1" applyFont="1" applyFill="1" applyBorder="1"/>
    <xf numFmtId="3" fontId="2" fillId="0" borderId="3" xfId="0" applyNumberFormat="1" applyFont="1" applyBorder="1" applyAlignment="1">
      <alignment horizontal="center"/>
    </xf>
    <xf numFmtId="3" fontId="2" fillId="6" borderId="3" xfId="0" applyNumberFormat="1" applyFont="1" applyFill="1" applyBorder="1" applyAlignment="1">
      <alignment horizontal="center"/>
    </xf>
    <xf numFmtId="3" fontId="2" fillId="0" borderId="64" xfId="0" applyNumberFormat="1" applyFont="1" applyBorder="1"/>
    <xf numFmtId="3" fontId="2" fillId="0" borderId="25" xfId="0" applyNumberFormat="1" applyFont="1" applyBorder="1"/>
    <xf numFmtId="0" fontId="16" fillId="2" borderId="0" xfId="0" applyFont="1" applyFill="1" applyBorder="1" applyAlignment="1">
      <alignment horizontal="center"/>
    </xf>
    <xf numFmtId="0" fontId="20" fillId="2" borderId="65" xfId="0" applyNumberFormat="1" applyFont="1" applyFill="1" applyBorder="1" applyAlignment="1">
      <alignment horizontal="left" indent="1"/>
    </xf>
    <xf numFmtId="3" fontId="20" fillId="2" borderId="59" xfId="0" applyNumberFormat="1" applyFont="1" applyFill="1" applyBorder="1"/>
    <xf numFmtId="3" fontId="20" fillId="2" borderId="60" xfId="0" applyNumberFormat="1" applyFont="1" applyFill="1" applyBorder="1"/>
    <xf numFmtId="3" fontId="16" fillId="2" borderId="7" xfId="0" applyNumberFormat="1" applyFont="1" applyFill="1" applyBorder="1"/>
    <xf numFmtId="3" fontId="16" fillId="2" borderId="51" xfId="0" applyNumberFormat="1" applyFont="1" applyFill="1" applyBorder="1"/>
    <xf numFmtId="3" fontId="16" fillId="2" borderId="59" xfId="0" applyNumberFormat="1" applyFont="1" applyFill="1" applyBorder="1" applyAlignment="1">
      <alignment horizontal="center" vertical="center"/>
    </xf>
    <xf numFmtId="3" fontId="16" fillId="2" borderId="66" xfId="0" applyNumberFormat="1" applyFont="1" applyFill="1" applyBorder="1"/>
    <xf numFmtId="3" fontId="16" fillId="2" borderId="65" xfId="0" applyNumberFormat="1" applyFont="1" applyFill="1" applyBorder="1" applyAlignment="1">
      <alignment horizontal="center"/>
    </xf>
    <xf numFmtId="3" fontId="16" fillId="2" borderId="51" xfId="0" applyNumberFormat="1" applyFont="1" applyFill="1" applyBorder="1" applyAlignment="1">
      <alignment horizontal="center"/>
    </xf>
    <xf numFmtId="3" fontId="20" fillId="2" borderId="7" xfId="0" applyNumberFormat="1" applyFont="1" applyFill="1" applyBorder="1"/>
    <xf numFmtId="3" fontId="16" fillId="2" borderId="59" xfId="0" applyNumberFormat="1" applyFont="1" applyFill="1" applyBorder="1" applyAlignment="1">
      <alignment horizontal="center"/>
    </xf>
    <xf numFmtId="3" fontId="16" fillId="0" borderId="66" xfId="0" applyNumberFormat="1" applyFont="1" applyFill="1" applyBorder="1" applyAlignment="1">
      <alignment horizontal="center"/>
    </xf>
    <xf numFmtId="0" fontId="20" fillId="2" borderId="24" xfId="0" applyNumberFormat="1" applyFont="1" applyFill="1" applyBorder="1" applyAlignment="1">
      <alignment horizontal="left" indent="1"/>
    </xf>
    <xf numFmtId="3" fontId="20" fillId="2" borderId="16" xfId="0" applyNumberFormat="1" applyFont="1" applyFill="1" applyBorder="1"/>
    <xf numFmtId="3" fontId="20" fillId="2" borderId="50" xfId="0" applyNumberFormat="1" applyFont="1" applyFill="1" applyBorder="1"/>
    <xf numFmtId="3" fontId="16" fillId="2" borderId="15" xfId="0" applyNumberFormat="1" applyFont="1" applyFill="1" applyBorder="1"/>
    <xf numFmtId="3" fontId="16" fillId="2" borderId="9" xfId="0" applyNumberFormat="1" applyFont="1" applyFill="1" applyBorder="1"/>
    <xf numFmtId="3" fontId="16" fillId="2" borderId="16" xfId="0" applyNumberFormat="1" applyFont="1" applyFill="1" applyBorder="1" applyAlignment="1">
      <alignment horizontal="center" vertical="center"/>
    </xf>
    <xf numFmtId="3" fontId="16" fillId="2" borderId="25" xfId="0" applyNumberFormat="1" applyFont="1" applyFill="1" applyBorder="1"/>
    <xf numFmtId="0" fontId="16" fillId="2" borderId="53" xfId="0" applyFont="1" applyFill="1" applyBorder="1" applyAlignment="1">
      <alignment horizontal="center"/>
    </xf>
    <xf numFmtId="3" fontId="16" fillId="2" borderId="24" xfId="0" applyNumberFormat="1" applyFont="1" applyFill="1" applyBorder="1" applyAlignment="1">
      <alignment horizontal="center"/>
    </xf>
    <xf numFmtId="3" fontId="16" fillId="2" borderId="9" xfId="0" applyNumberFormat="1" applyFont="1" applyFill="1" applyBorder="1" applyAlignment="1">
      <alignment horizontal="center"/>
    </xf>
    <xf numFmtId="3" fontId="20" fillId="2" borderId="15" xfId="0" applyNumberFormat="1" applyFont="1" applyFill="1" applyBorder="1"/>
    <xf numFmtId="3" fontId="16" fillId="2" borderId="16" xfId="0" applyNumberFormat="1" applyFont="1" applyFill="1" applyBorder="1" applyAlignment="1">
      <alignment horizontal="center"/>
    </xf>
    <xf numFmtId="3" fontId="16" fillId="0" borderId="25" xfId="0" applyNumberFormat="1" applyFont="1" applyFill="1" applyBorder="1" applyAlignment="1">
      <alignment horizontal="center"/>
    </xf>
    <xf numFmtId="15" fontId="1" fillId="0" borderId="0" xfId="0" quotePrefix="1" applyNumberFormat="1" applyFont="1" applyAlignment="1">
      <alignment horizontal="left"/>
    </xf>
    <xf numFmtId="3" fontId="1" fillId="2" borderId="0" xfId="0" quotePrefix="1" applyNumberFormat="1" applyFont="1" applyFill="1"/>
    <xf numFmtId="3" fontId="2" fillId="2" borderId="15" xfId="0" quotePrefix="1" applyNumberFormat="1" applyFont="1" applyFill="1" applyBorder="1"/>
    <xf numFmtId="3" fontId="2" fillId="2" borderId="50" xfId="0" quotePrefix="1" applyNumberFormat="1" applyFont="1" applyFill="1" applyBorder="1"/>
    <xf numFmtId="0" fontId="2" fillId="0" borderId="31" xfId="0" applyFont="1" applyBorder="1" applyAlignment="1">
      <alignment horizontal="center"/>
    </xf>
    <xf numFmtId="0" fontId="16" fillId="0" borderId="32" xfId="0" applyFont="1" applyBorder="1" applyAlignment="1">
      <alignment horizontal="center"/>
    </xf>
    <xf numFmtId="0" fontId="7" fillId="0" borderId="31" xfId="0" applyFont="1" applyBorder="1" applyAlignment="1">
      <alignment horizontal="center"/>
    </xf>
    <xf numFmtId="0" fontId="8" fillId="0" borderId="31" xfId="0" applyFont="1" applyBorder="1" applyAlignment="1">
      <alignment horizontal="center"/>
    </xf>
    <xf numFmtId="0" fontId="17" fillId="0" borderId="0" xfId="0" applyFont="1" applyFill="1" applyBorder="1" applyAlignment="1">
      <alignment horizontal="center" vertical="center"/>
    </xf>
    <xf numFmtId="0" fontId="16" fillId="2" borderId="0" xfId="0" applyFont="1" applyFill="1" applyAlignment="1">
      <alignment horizontal="left" wrapText="1"/>
    </xf>
    <xf numFmtId="0" fontId="16" fillId="0" borderId="31" xfId="0" applyFont="1" applyBorder="1" applyAlignment="1">
      <alignment horizontal="center"/>
    </xf>
    <xf numFmtId="0" fontId="16" fillId="0" borderId="30" xfId="0" applyFont="1" applyBorder="1" applyAlignment="1">
      <alignment horizontal="center"/>
    </xf>
    <xf numFmtId="0" fontId="18" fillId="5" borderId="18" xfId="0" applyFont="1" applyFill="1" applyBorder="1" applyAlignment="1">
      <alignment horizontal="center" vertical="center" wrapText="1"/>
    </xf>
    <xf numFmtId="0" fontId="18" fillId="5" borderId="26" xfId="0" applyFont="1" applyFill="1" applyBorder="1" applyAlignment="1">
      <alignment horizontal="center" vertical="center" wrapText="1"/>
    </xf>
    <xf numFmtId="3" fontId="12" fillId="0" borderId="13" xfId="0" applyNumberFormat="1" applyFont="1" applyBorder="1" applyAlignment="1">
      <alignment horizontal="center" vertical="center"/>
    </xf>
    <xf numFmtId="3" fontId="12" fillId="0" borderId="14" xfId="0" applyNumberFormat="1" applyFont="1" applyBorder="1" applyAlignment="1">
      <alignment horizontal="center" vertical="center"/>
    </xf>
    <xf numFmtId="3" fontId="12" fillId="0" borderId="8" xfId="0" applyNumberFormat="1" applyFont="1" applyBorder="1" applyAlignment="1">
      <alignment horizontal="center" vertical="center"/>
    </xf>
    <xf numFmtId="0" fontId="12" fillId="0" borderId="13" xfId="0" quotePrefix="1" applyFont="1" applyFill="1" applyBorder="1" applyAlignment="1">
      <alignment horizontal="center"/>
    </xf>
    <xf numFmtId="0" fontId="12" fillId="0" borderId="14" xfId="0" applyFont="1" applyFill="1" applyBorder="1" applyAlignment="1">
      <alignment horizontal="center"/>
    </xf>
    <xf numFmtId="0" fontId="12" fillId="0" borderId="8" xfId="0" applyFont="1" applyFill="1" applyBorder="1" applyAlignment="1">
      <alignment horizontal="center"/>
    </xf>
    <xf numFmtId="3" fontId="12" fillId="0" borderId="13" xfId="0" quotePrefix="1" applyNumberFormat="1" applyFont="1" applyBorder="1" applyAlignment="1">
      <alignment horizontal="center"/>
    </xf>
    <xf numFmtId="3" fontId="12" fillId="0" borderId="14" xfId="0" applyNumberFormat="1" applyFont="1" applyBorder="1" applyAlignment="1">
      <alignment horizontal="center"/>
    </xf>
    <xf numFmtId="3" fontId="12" fillId="0" borderId="8" xfId="0" applyNumberFormat="1" applyFont="1" applyBorder="1" applyAlignment="1">
      <alignment horizontal="center"/>
    </xf>
    <xf numFmtId="3" fontId="12" fillId="0" borderId="3" xfId="0" applyNumberFormat="1" applyFont="1" applyBorder="1" applyAlignment="1">
      <alignment horizontal="center" vertical="center"/>
    </xf>
    <xf numFmtId="3" fontId="17" fillId="0" borderId="44" xfId="0" applyNumberFormat="1" applyFont="1" applyBorder="1" applyAlignment="1">
      <alignment horizontal="center" vertical="center"/>
    </xf>
    <xf numFmtId="3" fontId="17" fillId="0" borderId="35" xfId="0" applyNumberFormat="1" applyFont="1" applyBorder="1" applyAlignment="1">
      <alignment horizontal="center" vertical="center"/>
    </xf>
    <xf numFmtId="0" fontId="18" fillId="0" borderId="45" xfId="0" quotePrefix="1" applyFont="1" applyBorder="1" applyAlignment="1">
      <alignment horizontal="center" vertical="center"/>
    </xf>
    <xf numFmtId="0" fontId="18" fillId="0" borderId="42" xfId="0" quotePrefix="1" applyFont="1" applyBorder="1" applyAlignment="1">
      <alignment horizontal="center" vertical="center"/>
    </xf>
    <xf numFmtId="0" fontId="18" fillId="0" borderId="43" xfId="0" quotePrefix="1" applyFont="1" applyBorder="1" applyAlignment="1">
      <alignment horizontal="center" vertical="center"/>
    </xf>
    <xf numFmtId="3" fontId="18" fillId="3" borderId="45" xfId="0" applyNumberFormat="1" applyFont="1" applyFill="1" applyBorder="1" applyAlignment="1">
      <alignment horizontal="center" vertical="center" wrapText="1"/>
    </xf>
    <xf numFmtId="3" fontId="18" fillId="3" borderId="46" xfId="0" applyNumberFormat="1" applyFont="1" applyFill="1" applyBorder="1" applyAlignment="1">
      <alignment horizontal="center" vertical="center" wrapText="1"/>
    </xf>
  </cellXfs>
  <cellStyles count="2">
    <cellStyle name="Normal" xfId="0" builtinId="0"/>
    <cellStyle name="Normal 13"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worksheet" Target="worksheets/sheet5.xml"/><Relationship Id="rId12"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theme" Target="theme/theme1.xml"/><Relationship Id="rId5" Type="http://schemas.openxmlformats.org/officeDocument/2006/relationships/worksheet" Target="worksheets/sheet3.xml"/><Relationship Id="rId10" Type="http://schemas.openxmlformats.org/officeDocument/2006/relationships/chartsheet" Target="chartsheets/sheet3.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80981821116835E-2"/>
          <c:y val="0.14575695504284739"/>
          <c:w val="0.94427479693617777"/>
          <c:h val="0.73014870551421285"/>
        </c:manualLayout>
      </c:layout>
      <c:lineChart>
        <c:grouping val="standard"/>
        <c:varyColors val="0"/>
        <c:ser>
          <c:idx val="0"/>
          <c:order val="0"/>
          <c:tx>
            <c:v>Bread units</c:v>
          </c:tx>
          <c:spPr>
            <a:ln w="38100" cap="flat" cmpd="sng" algn="ctr">
              <a:solidFill>
                <a:schemeClr val="accent1"/>
              </a:solidFill>
              <a:miter lim="800000"/>
            </a:ln>
            <a:effectLst/>
          </c:spPr>
          <c:marker>
            <c:symbol val="none"/>
          </c:marker>
          <c:dLbls>
            <c:dLbl>
              <c:idx val="0"/>
              <c:layout>
                <c:manualLayout>
                  <c:x val="-1.3669467328842931E-2"/>
                  <c:y val="-4.5824839558379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F5-4BE9-92BF-53B3F364AF67}"/>
                </c:ext>
              </c:extLst>
            </c:dLbl>
            <c:dLbl>
              <c:idx val="8"/>
              <c:layout>
                <c:manualLayout>
                  <c:x val="-1.2301659527150522E-2"/>
                  <c:y val="-3.12393571234568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F5-4BE9-92BF-53B3F364AF67}"/>
                </c:ext>
              </c:extLst>
            </c:dLbl>
            <c:dLbl>
              <c:idx val="18"/>
              <c:layout>
                <c:manualLayout>
                  <c:x val="-9.5686271301900511E-3"/>
                  <c:y val="-3.33312314421897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F5-4BE9-92BF-53B3F364AF67}"/>
                </c:ext>
              </c:extLst>
            </c:dLbl>
            <c:dLbl>
              <c:idx val="28"/>
              <c:layout>
                <c:manualLayout>
                  <c:x val="-2.1874699634982221E-2"/>
                  <c:y val="-3.53910847630299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9F5-4BE9-92BF-53B3F364AF67}"/>
                </c:ext>
              </c:extLst>
            </c:dLbl>
            <c:dLbl>
              <c:idx val="38"/>
              <c:layout>
                <c:manualLayout>
                  <c:x val="0"/>
                  <c:y val="-1.87499999999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9F5-4BE9-92BF-53B3F364AF67}"/>
                </c:ext>
              </c:extLst>
            </c:dLbl>
            <c:dLbl>
              <c:idx val="66"/>
              <c:layout>
                <c:manualLayout>
                  <c:x val="-1.6419213108134417E-2"/>
                  <c:y val="2.50666676316126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53-4E27-BF43-987AF1681013}"/>
                </c:ext>
              </c:extLst>
            </c:dLbl>
            <c:dLbl>
              <c:idx val="69"/>
              <c:layout>
                <c:manualLayout>
                  <c:x val="-5.4730710360450059E-3"/>
                  <c:y val="-2.92444455702148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53-4E27-BF43-987AF1681013}"/>
                </c:ext>
              </c:extLst>
            </c:dLbl>
            <c:dLbl>
              <c:idx val="70"/>
              <c:layout>
                <c:manualLayout>
                  <c:x val="-1.5046090364427726E-2"/>
                  <c:y val="-3.74999999999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9F5-4BE9-92BF-53B3F364AF6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'Bread Baked from 1948'!$A$5:$A$74</c:f>
              <c:strCache>
                <c:ptCount val="70"/>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strCache>
            </c:strRef>
          </c:cat>
          <c:val>
            <c:numRef>
              <c:f>'Bread Baked from 1948'!$N$5:$N$74</c:f>
              <c:numCache>
                <c:formatCode>#,##0</c:formatCode>
                <c:ptCount val="70"/>
                <c:pt idx="0">
                  <c:v>29.140824299958968</c:v>
                </c:pt>
                <c:pt idx="1">
                  <c:v>30.817217407989933</c:v>
                </c:pt>
                <c:pt idx="2">
                  <c:v>34.085838705521475</c:v>
                </c:pt>
                <c:pt idx="3">
                  <c:v>33.083045103003727</c:v>
                </c:pt>
                <c:pt idx="4">
                  <c:v>32.366208482256411</c:v>
                </c:pt>
                <c:pt idx="5">
                  <c:v>33.503961873889246</c:v>
                </c:pt>
                <c:pt idx="6">
                  <c:v>33.790889780181679</c:v>
                </c:pt>
                <c:pt idx="7">
                  <c:v>33.68706445736958</c:v>
                </c:pt>
                <c:pt idx="8">
                  <c:v>34.120696894165931</c:v>
                </c:pt>
                <c:pt idx="9">
                  <c:v>34.11082254813671</c:v>
                </c:pt>
                <c:pt idx="10">
                  <c:v>35.375856437584524</c:v>
                </c:pt>
                <c:pt idx="11">
                  <c:v>33.424132594819767</c:v>
                </c:pt>
                <c:pt idx="12">
                  <c:v>33.814162141142582</c:v>
                </c:pt>
                <c:pt idx="13">
                  <c:v>34.841986652856761</c:v>
                </c:pt>
                <c:pt idx="14">
                  <c:v>36.357418052471601</c:v>
                </c:pt>
                <c:pt idx="15">
                  <c:v>38.533134461919239</c:v>
                </c:pt>
                <c:pt idx="16">
                  <c:v>40.601802651413024</c:v>
                </c:pt>
                <c:pt idx="17">
                  <c:v>41.239402912270087</c:v>
                </c:pt>
                <c:pt idx="18">
                  <c:v>41.991660081969592</c:v>
                </c:pt>
                <c:pt idx="19">
                  <c:v>41.967580793149146</c:v>
                </c:pt>
                <c:pt idx="20">
                  <c:v>45.327734689038103</c:v>
                </c:pt>
                <c:pt idx="21">
                  <c:v>46.344252093233763</c:v>
                </c:pt>
                <c:pt idx="22">
                  <c:v>47.580068614431156</c:v>
                </c:pt>
                <c:pt idx="23">
                  <c:v>48.383680893912825</c:v>
                </c:pt>
                <c:pt idx="24">
                  <c:v>51.125092680860078</c:v>
                </c:pt>
                <c:pt idx="25">
                  <c:v>52.462141817296384</c:v>
                </c:pt>
                <c:pt idx="26">
                  <c:v>60.496935967033131</c:v>
                </c:pt>
                <c:pt idx="27">
                  <c:v>58.964599137289895</c:v>
                </c:pt>
                <c:pt idx="28">
                  <c:v>58.838443367626581</c:v>
                </c:pt>
                <c:pt idx="29">
                  <c:v>61.245151868604971</c:v>
                </c:pt>
                <c:pt idx="30">
                  <c:v>66.216554138534633</c:v>
                </c:pt>
                <c:pt idx="31">
                  <c:v>69.134552388181774</c:v>
                </c:pt>
                <c:pt idx="32">
                  <c:v>65.917994139290997</c:v>
                </c:pt>
                <c:pt idx="33">
                  <c:v>64.324006472575249</c:v>
                </c:pt>
                <c:pt idx="34">
                  <c:v>65.134643377001453</c:v>
                </c:pt>
                <c:pt idx="35">
                  <c:v>66.317723692636505</c:v>
                </c:pt>
                <c:pt idx="36">
                  <c:v>66.419337377211008</c:v>
                </c:pt>
                <c:pt idx="37">
                  <c:v>66.662080277359948</c:v>
                </c:pt>
                <c:pt idx="66">
                  <c:v>36.988412277093133</c:v>
                </c:pt>
                <c:pt idx="67">
                  <c:v>37.785252485757759</c:v>
                </c:pt>
                <c:pt idx="68">
                  <c:v>39.423630339881512</c:v>
                </c:pt>
                <c:pt idx="69">
                  <c:v>40.33528627084042</c:v>
                </c:pt>
              </c:numCache>
            </c:numRef>
          </c:val>
          <c:smooth val="0"/>
          <c:extLst>
            <c:ext xmlns:c16="http://schemas.microsoft.com/office/drawing/2014/chart" uri="{C3380CC4-5D6E-409C-BE32-E72D297353CC}">
              <c16:uniqueId val="{00000000-79F5-4BE9-92BF-53B3F364AF67}"/>
            </c:ext>
          </c:extLst>
        </c:ser>
        <c:ser>
          <c:idx val="1"/>
          <c:order val="1"/>
          <c:tx>
            <c:v>Bread Kg/head</c:v>
          </c:tx>
          <c:spPr>
            <a:ln w="38100" cap="flat" cmpd="sng" algn="ctr">
              <a:solidFill>
                <a:schemeClr val="accent2"/>
              </a:solidFill>
              <a:miter lim="800000"/>
            </a:ln>
            <a:effectLst/>
          </c:spPr>
          <c:marker>
            <c:symbol val="none"/>
          </c:marker>
          <c:dLbls>
            <c:dLbl>
              <c:idx val="0"/>
              <c:layout>
                <c:manualLayout>
                  <c:x val="-4.0964272210112845E-3"/>
                  <c:y val="2.91581564706883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F5-4BE9-92BF-53B3F364AF67}"/>
                </c:ext>
              </c:extLst>
            </c:dLbl>
            <c:dLbl>
              <c:idx val="8"/>
              <c:layout>
                <c:manualLayout>
                  <c:x val="-1.3668606260034815E-2"/>
                  <c:y val="3.5410297361765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F5-4BE9-92BF-53B3F364AF67}"/>
                </c:ext>
              </c:extLst>
            </c:dLbl>
            <c:dLbl>
              <c:idx val="18"/>
              <c:layout>
                <c:manualLayout>
                  <c:x val="-8.1902712355982205E-3"/>
                  <c:y val="3.54124320949581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F5-4BE9-92BF-53B3F364AF67}"/>
                </c:ext>
              </c:extLst>
            </c:dLbl>
            <c:dLbl>
              <c:idx val="28"/>
              <c:layout>
                <c:manualLayout>
                  <c:x val="-1.3665054351201337E-2"/>
                  <c:y val="3.54102973617653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F5-4BE9-92BF-53B3F364AF67}"/>
                </c:ext>
              </c:extLst>
            </c:dLbl>
            <c:dLbl>
              <c:idx val="38"/>
              <c:layout>
                <c:manualLayout>
                  <c:x val="-1.3678263967661568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9F5-4BE9-92BF-53B3F364AF67}"/>
                </c:ext>
              </c:extLst>
            </c:dLbl>
            <c:dLbl>
              <c:idx val="66"/>
              <c:layout>
                <c:manualLayout>
                  <c:x val="-2.0524016385168022E-2"/>
                  <c:y val="2.92444455702148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53-4E27-BF43-987AF1681013}"/>
                </c:ext>
              </c:extLst>
            </c:dLbl>
            <c:dLbl>
              <c:idx val="69"/>
              <c:layout>
                <c:manualLayout>
                  <c:x val="-8.2096065540672083E-3"/>
                  <c:y val="-2.92444455702149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53-4E27-BF43-987AF1681013}"/>
                </c:ext>
              </c:extLst>
            </c:dLbl>
            <c:dLbl>
              <c:idx val="70"/>
              <c:layout>
                <c:manualLayout>
                  <c:x val="-1.3678263967661568E-2"/>
                  <c:y val="3.74999999999999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9F5-4BE9-92BF-53B3F364AF6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'Bread Baked from 1948'!$A$5:$A$74</c:f>
              <c:strCache>
                <c:ptCount val="70"/>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strCache>
            </c:strRef>
          </c:cat>
          <c:val>
            <c:numRef>
              <c:f>'Bread Baked from 1948'!$O$5:$O$74</c:f>
              <c:numCache>
                <c:formatCode>#,##0</c:formatCode>
                <c:ptCount val="70"/>
                <c:pt idx="0">
                  <c:v>26.226741869963075</c:v>
                </c:pt>
                <c:pt idx="1">
                  <c:v>27.735495667190939</c:v>
                </c:pt>
                <c:pt idx="2">
                  <c:v>30.677254834969329</c:v>
                </c:pt>
                <c:pt idx="3">
                  <c:v>29.774740592703353</c:v>
                </c:pt>
                <c:pt idx="4">
                  <c:v>29.129587634030766</c:v>
                </c:pt>
                <c:pt idx="5">
                  <c:v>30.153565686500322</c:v>
                </c:pt>
                <c:pt idx="6">
                  <c:v>30.411800802163508</c:v>
                </c:pt>
                <c:pt idx="7">
                  <c:v>30.318358011632622</c:v>
                </c:pt>
                <c:pt idx="8">
                  <c:v>30.708627204749337</c:v>
                </c:pt>
                <c:pt idx="9">
                  <c:v>30.699740293323039</c:v>
                </c:pt>
                <c:pt idx="10">
                  <c:v>31.838270793826073</c:v>
                </c:pt>
                <c:pt idx="11">
                  <c:v>30.081719335337795</c:v>
                </c:pt>
                <c:pt idx="12">
                  <c:v>30.432745927028321</c:v>
                </c:pt>
                <c:pt idx="13">
                  <c:v>31.357787987571086</c:v>
                </c:pt>
                <c:pt idx="14">
                  <c:v>32.721676247224444</c:v>
                </c:pt>
                <c:pt idx="15">
                  <c:v>34.67982101572732</c:v>
                </c:pt>
                <c:pt idx="16">
                  <c:v>36.541622386271719</c:v>
                </c:pt>
                <c:pt idx="17">
                  <c:v>37.115462621043079</c:v>
                </c:pt>
                <c:pt idx="18">
                  <c:v>37.79249407377263</c:v>
                </c:pt>
                <c:pt idx="19">
                  <c:v>37.770822713834235</c:v>
                </c:pt>
                <c:pt idx="20">
                  <c:v>40.794961220134297</c:v>
                </c:pt>
                <c:pt idx="21">
                  <c:v>41.709826883910395</c:v>
                </c:pt>
                <c:pt idx="22">
                  <c:v>42.822061752988041</c:v>
                </c:pt>
                <c:pt idx="23">
                  <c:v>43.545312804521544</c:v>
                </c:pt>
                <c:pt idx="24">
                  <c:v>46.01258341277407</c:v>
                </c:pt>
                <c:pt idx="25">
                  <c:v>47.215927635566743</c:v>
                </c:pt>
                <c:pt idx="26">
                  <c:v>54.447242370329818</c:v>
                </c:pt>
                <c:pt idx="27">
                  <c:v>53.068139223560912</c:v>
                </c:pt>
                <c:pt idx="28">
                  <c:v>52.954599030863925</c:v>
                </c:pt>
                <c:pt idx="29">
                  <c:v>55.120636681744472</c:v>
                </c:pt>
                <c:pt idx="30">
                  <c:v>59.594898724681173</c:v>
                </c:pt>
                <c:pt idx="31">
                  <c:v>62.221097149363601</c:v>
                </c:pt>
                <c:pt idx="32">
                  <c:v>59.326194725361894</c:v>
                </c:pt>
                <c:pt idx="33">
                  <c:v>57.891605825317718</c:v>
                </c:pt>
                <c:pt idx="34">
                  <c:v>58.62117903930131</c:v>
                </c:pt>
                <c:pt idx="35">
                  <c:v>59.685951323372855</c:v>
                </c:pt>
                <c:pt idx="36">
                  <c:v>56.456436770629345</c:v>
                </c:pt>
                <c:pt idx="37">
                  <c:v>56.662768235755955</c:v>
                </c:pt>
                <c:pt idx="66">
                  <c:v>25.352952326101342</c:v>
                </c:pt>
                <c:pt idx="67">
                  <c:v>25.842458294115563</c:v>
                </c:pt>
                <c:pt idx="68">
                  <c:v>26.810182792848977</c:v>
                </c:pt>
                <c:pt idx="69">
                  <c:v>27.381614870704315</c:v>
                </c:pt>
              </c:numCache>
            </c:numRef>
          </c:val>
          <c:smooth val="0"/>
          <c:extLst>
            <c:ext xmlns:c16="http://schemas.microsoft.com/office/drawing/2014/chart" uri="{C3380CC4-5D6E-409C-BE32-E72D297353CC}">
              <c16:uniqueId val="{00000001-79F5-4BE9-92BF-53B3F364AF67}"/>
            </c:ext>
          </c:extLst>
        </c:ser>
        <c:ser>
          <c:idx val="2"/>
          <c:order val="2"/>
          <c:tx>
            <c:v>Whole wheat Kg/head</c:v>
          </c:tx>
          <c:spPr>
            <a:ln w="38100" cap="flat" cmpd="sng" algn="ctr">
              <a:solidFill>
                <a:schemeClr val="accent3"/>
              </a:solidFill>
              <a:miter lim="800000"/>
            </a:ln>
            <a:effectLst/>
          </c:spPr>
          <c:marker>
            <c:symbol val="none"/>
          </c:marker>
          <c:dLbls>
            <c:dLbl>
              <c:idx val="0"/>
              <c:layout>
                <c:manualLayout>
                  <c:x val="-8.2016803973057658E-3"/>
                  <c:y val="-5.61636815072111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DA-42F4-8BFF-6834CE28852F}"/>
                </c:ext>
              </c:extLst>
            </c:dLbl>
            <c:dLbl>
              <c:idx val="8"/>
              <c:layout>
                <c:manualLayout>
                  <c:x val="-9.5686271301900511E-3"/>
                  <c:y val="-3.53249080340520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DA-42F4-8BFF-6834CE28852F}"/>
                </c:ext>
              </c:extLst>
            </c:dLbl>
            <c:dLbl>
              <c:idx val="17"/>
              <c:layout>
                <c:manualLayout>
                  <c:x val="-3.2806721589223035E-2"/>
                  <c:y val="4.25632956602187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DA-42F4-8BFF-6834CE28852F}"/>
                </c:ext>
              </c:extLst>
            </c:dLbl>
            <c:dLbl>
              <c:idx val="28"/>
              <c:layout>
                <c:manualLayout>
                  <c:x val="-3.1439774856338795E-2"/>
                  <c:y val="-3.5335581700016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DA-42F4-8BFF-6834CE28852F}"/>
                </c:ext>
              </c:extLst>
            </c:dLbl>
            <c:dLbl>
              <c:idx val="38"/>
              <c:layout>
                <c:manualLayout>
                  <c:x val="-1.6403360794611518E-2"/>
                  <c:y val="-3.12341023955975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DA-42F4-8BFF-6834CE28852F}"/>
                </c:ext>
              </c:extLst>
            </c:dLbl>
            <c:dLbl>
              <c:idx val="49"/>
              <c:layout>
                <c:manualLayout>
                  <c:x val="-1.7770307527495911E-2"/>
                  <c:y val="-2.90259672229781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DA-42F4-8BFF-6834CE28852F}"/>
                </c:ext>
              </c:extLst>
            </c:dLbl>
            <c:dLbl>
              <c:idx val="68"/>
              <c:layout>
                <c:manualLayout>
                  <c:x val="-9.5605533055900284E-3"/>
                  <c:y val="-4.16026902274388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DA-42F4-8BFF-6834CE28852F}"/>
                </c:ext>
              </c:extLst>
            </c:dLbl>
            <c:dLbl>
              <c:idx val="6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53-4E27-BF43-987AF168101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'Bread Baked from 1948'!$A$5:$A$74</c:f>
              <c:strCache>
                <c:ptCount val="70"/>
                <c:pt idx="0">
                  <c:v>1949/50</c:v>
                </c:pt>
                <c:pt idx="1">
                  <c:v>1950/51</c:v>
                </c:pt>
                <c:pt idx="2">
                  <c:v>1951/52</c:v>
                </c:pt>
                <c:pt idx="3">
                  <c:v>1952/53</c:v>
                </c:pt>
                <c:pt idx="4">
                  <c:v>1953/54</c:v>
                </c:pt>
                <c:pt idx="5">
                  <c:v>1954/55</c:v>
                </c:pt>
                <c:pt idx="6">
                  <c:v>1955/56</c:v>
                </c:pt>
                <c:pt idx="7">
                  <c:v>1956/57</c:v>
                </c:pt>
                <c:pt idx="8">
                  <c:v>1957/58</c:v>
                </c:pt>
                <c:pt idx="9">
                  <c:v>1958/59</c:v>
                </c:pt>
                <c:pt idx="10">
                  <c:v>1959/60</c:v>
                </c:pt>
                <c:pt idx="11">
                  <c:v>1960/61</c:v>
                </c:pt>
                <c:pt idx="12">
                  <c:v>1961/62</c:v>
                </c:pt>
                <c:pt idx="13">
                  <c:v>1962/63</c:v>
                </c:pt>
                <c:pt idx="14">
                  <c:v>1963/64</c:v>
                </c:pt>
                <c:pt idx="15">
                  <c:v>1964/65</c:v>
                </c:pt>
                <c:pt idx="16">
                  <c:v>1965/66</c:v>
                </c:pt>
                <c:pt idx="17">
                  <c:v>1966/67</c:v>
                </c:pt>
                <c:pt idx="18">
                  <c:v>1967/68</c:v>
                </c:pt>
                <c:pt idx="19">
                  <c:v>1968/69</c:v>
                </c:pt>
                <c:pt idx="20">
                  <c:v>1969/70</c:v>
                </c:pt>
                <c:pt idx="21">
                  <c:v>1970/71</c:v>
                </c:pt>
                <c:pt idx="22">
                  <c:v>1971/72</c:v>
                </c:pt>
                <c:pt idx="23">
                  <c:v>1972/73</c:v>
                </c:pt>
                <c:pt idx="24">
                  <c:v>1973/74</c:v>
                </c:pt>
                <c:pt idx="25">
                  <c:v>1974/75</c:v>
                </c:pt>
                <c:pt idx="26">
                  <c:v>1975/76</c:v>
                </c:pt>
                <c:pt idx="27">
                  <c:v>1976/77</c:v>
                </c:pt>
                <c:pt idx="28">
                  <c:v>1977/78</c:v>
                </c:pt>
                <c:pt idx="29">
                  <c:v>1978/79</c:v>
                </c:pt>
                <c:pt idx="30">
                  <c:v>1979/80</c:v>
                </c:pt>
                <c:pt idx="31">
                  <c:v>1980/81</c:v>
                </c:pt>
                <c:pt idx="32">
                  <c:v>1981/82</c:v>
                </c:pt>
                <c:pt idx="33">
                  <c:v>1982/83</c:v>
                </c:pt>
                <c:pt idx="34">
                  <c:v>1983/84</c:v>
                </c:pt>
                <c:pt idx="35">
                  <c:v>1984/85</c:v>
                </c:pt>
                <c:pt idx="36">
                  <c:v>1985/86</c:v>
                </c:pt>
                <c:pt idx="37">
                  <c:v>1986/87</c:v>
                </c:pt>
                <c:pt idx="38">
                  <c:v>1987/88</c:v>
                </c:pt>
                <c:pt idx="39">
                  <c:v>1988/89</c:v>
                </c:pt>
                <c:pt idx="40">
                  <c:v>1989/90</c:v>
                </c:pt>
                <c:pt idx="41">
                  <c:v>1990/91</c:v>
                </c:pt>
                <c:pt idx="42">
                  <c:v>1991/92</c:v>
                </c:pt>
                <c:pt idx="43">
                  <c:v>1992/93</c:v>
                </c:pt>
                <c:pt idx="44">
                  <c:v>1993/94</c:v>
                </c:pt>
                <c:pt idx="45">
                  <c:v>1994/95</c:v>
                </c:pt>
                <c:pt idx="46">
                  <c:v>1995/96</c:v>
                </c:pt>
                <c:pt idx="47">
                  <c:v>1996/97</c:v>
                </c:pt>
                <c:pt idx="48">
                  <c:v>1997/98</c:v>
                </c:pt>
                <c:pt idx="49">
                  <c:v>1998/99</c:v>
                </c:pt>
                <c:pt idx="50">
                  <c:v>1999/00</c:v>
                </c:pt>
                <c:pt idx="51">
                  <c:v>2000/01</c:v>
                </c:pt>
                <c:pt idx="52">
                  <c:v>2001/02</c:v>
                </c:pt>
                <c:pt idx="53">
                  <c:v>2002/03</c:v>
                </c:pt>
                <c:pt idx="54">
                  <c:v>2003/04</c:v>
                </c:pt>
                <c:pt idx="55">
                  <c:v>2004/05</c:v>
                </c:pt>
                <c:pt idx="56">
                  <c:v>2005/06</c:v>
                </c:pt>
                <c:pt idx="57">
                  <c:v>2006/07</c:v>
                </c:pt>
                <c:pt idx="58">
                  <c:v>2007/08</c:v>
                </c:pt>
                <c:pt idx="59">
                  <c:v>2008/09</c:v>
                </c:pt>
                <c:pt idx="60">
                  <c:v>2009/10</c:v>
                </c:pt>
                <c:pt idx="61">
                  <c:v>2010/11</c:v>
                </c:pt>
                <c:pt idx="62">
                  <c:v>2011/12</c:v>
                </c:pt>
                <c:pt idx="63">
                  <c:v>2012/13</c:v>
                </c:pt>
                <c:pt idx="64">
                  <c:v>2013/14</c:v>
                </c:pt>
                <c:pt idx="65">
                  <c:v>2014/15</c:v>
                </c:pt>
                <c:pt idx="66">
                  <c:v>2015/16</c:v>
                </c:pt>
                <c:pt idx="67">
                  <c:v>2016/17</c:v>
                </c:pt>
                <c:pt idx="68">
                  <c:v>2017/18</c:v>
                </c:pt>
                <c:pt idx="69">
                  <c:v>2018/19</c:v>
                </c:pt>
              </c:strCache>
            </c:strRef>
          </c:cat>
          <c:val>
            <c:numRef>
              <c:f>'Bread Baked from 1948'!$R$5:$R$74</c:f>
              <c:numCache>
                <c:formatCode>#,##0</c:formatCode>
                <c:ptCount val="70"/>
                <c:pt idx="0">
                  <c:v>56.62225076256221</c:v>
                </c:pt>
                <c:pt idx="1">
                  <c:v>61.725385341302299</c:v>
                </c:pt>
                <c:pt idx="2">
                  <c:v>61.95552147239264</c:v>
                </c:pt>
                <c:pt idx="3">
                  <c:v>61.872009569377994</c:v>
                </c:pt>
                <c:pt idx="4">
                  <c:v>58.321790478967706</c:v>
                </c:pt>
                <c:pt idx="5">
                  <c:v>59.50095969289827</c:v>
                </c:pt>
                <c:pt idx="6">
                  <c:v>61.493655086332431</c:v>
                </c:pt>
                <c:pt idx="7">
                  <c:v>58.670363857703229</c:v>
                </c:pt>
                <c:pt idx="8">
                  <c:v>59.670184696569919</c:v>
                </c:pt>
                <c:pt idx="9">
                  <c:v>59.867490029589604</c:v>
                </c:pt>
                <c:pt idx="10">
                  <c:v>57.058602083071904</c:v>
                </c:pt>
                <c:pt idx="11">
                  <c:v>55.427379272258698</c:v>
                </c:pt>
                <c:pt idx="12">
                  <c:v>55.106817090734516</c:v>
                </c:pt>
                <c:pt idx="13">
                  <c:v>57.108518496804834</c:v>
                </c:pt>
                <c:pt idx="14">
                  <c:v>58.263706077601007</c:v>
                </c:pt>
                <c:pt idx="15">
                  <c:v>60.866401746236079</c:v>
                </c:pt>
                <c:pt idx="16">
                  <c:v>73.395999562793747</c:v>
                </c:pt>
                <c:pt idx="17">
                  <c:v>51.353226925746007</c:v>
                </c:pt>
                <c:pt idx="18">
                  <c:v>64.120623989148015</c:v>
                </c:pt>
                <c:pt idx="19">
                  <c:v>63.716994596798855</c:v>
                </c:pt>
                <c:pt idx="20">
                  <c:v>74.800895320389358</c:v>
                </c:pt>
                <c:pt idx="21">
                  <c:v>59.317718940936864</c:v>
                </c:pt>
                <c:pt idx="22">
                  <c:v>69.820717131474098</c:v>
                </c:pt>
                <c:pt idx="23">
                  <c:v>62.755798090040926</c:v>
                </c:pt>
                <c:pt idx="24">
                  <c:v>70.686367969494754</c:v>
                </c:pt>
                <c:pt idx="25">
                  <c:v>75.162027323168743</c:v>
                </c:pt>
                <c:pt idx="26">
                  <c:v>77.961771816979152</c:v>
                </c:pt>
                <c:pt idx="27">
                  <c:v>75.011155734047307</c:v>
                </c:pt>
                <c:pt idx="28">
                  <c:v>73.121753175885104</c:v>
                </c:pt>
                <c:pt idx="29">
                  <c:v>81.206793547836483</c:v>
                </c:pt>
                <c:pt idx="30">
                  <c:v>74.226890055847292</c:v>
                </c:pt>
                <c:pt idx="31">
                  <c:v>82.55052661542841</c:v>
                </c:pt>
                <c:pt idx="32">
                  <c:v>79.238548483045804</c:v>
                </c:pt>
                <c:pt idx="33">
                  <c:v>76.602155522076714</c:v>
                </c:pt>
                <c:pt idx="34">
                  <c:v>89.896099984942026</c:v>
                </c:pt>
                <c:pt idx="35">
                  <c:v>81.935318086707539</c:v>
                </c:pt>
                <c:pt idx="36">
                  <c:v>80.097435162630745</c:v>
                </c:pt>
                <c:pt idx="37">
                  <c:v>82.030293490047924</c:v>
                </c:pt>
                <c:pt idx="38">
                  <c:v>89.371226366713387</c:v>
                </c:pt>
                <c:pt idx="39">
                  <c:v>78.573023940082919</c:v>
                </c:pt>
                <c:pt idx="40">
                  <c:v>75.467833197056422</c:v>
                </c:pt>
                <c:pt idx="41">
                  <c:v>60.051299759661866</c:v>
                </c:pt>
                <c:pt idx="42">
                  <c:v>57.928876513840834</c:v>
                </c:pt>
                <c:pt idx="43">
                  <c:v>56.409131791968676</c:v>
                </c:pt>
                <c:pt idx="44">
                  <c:v>58.478967668452796</c:v>
                </c:pt>
                <c:pt idx="45">
                  <c:v>59.605745117410137</c:v>
                </c:pt>
                <c:pt idx="46">
                  <c:v>59.596515868322491</c:v>
                </c:pt>
                <c:pt idx="47">
                  <c:v>62.206806219225264</c:v>
                </c:pt>
                <c:pt idx="48">
                  <c:v>51.767107355628873</c:v>
                </c:pt>
                <c:pt idx="49">
                  <c:v>55.743949458819159</c:v>
                </c:pt>
                <c:pt idx="50">
                  <c:v>54.273680355262556</c:v>
                </c:pt>
                <c:pt idx="51">
                  <c:v>54.464666412333656</c:v>
                </c:pt>
                <c:pt idx="52">
                  <c:v>55.902670832049985</c:v>
                </c:pt>
                <c:pt idx="53">
                  <c:v>55.504103039048871</c:v>
                </c:pt>
                <c:pt idx="54">
                  <c:v>56.948439445326919</c:v>
                </c:pt>
                <c:pt idx="55">
                  <c:v>58.351817096058696</c:v>
                </c:pt>
                <c:pt idx="56">
                  <c:v>58.935240868519337</c:v>
                </c:pt>
                <c:pt idx="57">
                  <c:v>58.93293766065495</c:v>
                </c:pt>
                <c:pt idx="58">
                  <c:v>58.434489699509108</c:v>
                </c:pt>
                <c:pt idx="59">
                  <c:v>57.926643823117942</c:v>
                </c:pt>
                <c:pt idx="60">
                  <c:v>60.350863155367968</c:v>
                </c:pt>
                <c:pt idx="61">
                  <c:v>58.216537845691583</c:v>
                </c:pt>
                <c:pt idx="62">
                  <c:v>61.849297869463598</c:v>
                </c:pt>
                <c:pt idx="63">
                  <c:v>57.379600619078175</c:v>
                </c:pt>
                <c:pt idx="64">
                  <c:v>58.80956260879227</c:v>
                </c:pt>
                <c:pt idx="65">
                  <c:v>56.639154247866514</c:v>
                </c:pt>
                <c:pt idx="66">
                  <c:v>56.241642669337672</c:v>
                </c:pt>
                <c:pt idx="67">
                  <c:v>55.963978627790951</c:v>
                </c:pt>
                <c:pt idx="68">
                  <c:v>55.951581609673283</c:v>
                </c:pt>
                <c:pt idx="69">
                  <c:v>55.370125893160939</c:v>
                </c:pt>
              </c:numCache>
            </c:numRef>
          </c:val>
          <c:smooth val="0"/>
          <c:extLst>
            <c:ext xmlns:c16="http://schemas.microsoft.com/office/drawing/2014/chart" uri="{C3380CC4-5D6E-409C-BE32-E72D297353CC}">
              <c16:uniqueId val="{00000000-3DDA-42F4-8BFF-6834CE28852F}"/>
            </c:ext>
          </c:extLst>
        </c:ser>
        <c:dLbls>
          <c:showLegendKey val="0"/>
          <c:showVal val="0"/>
          <c:showCatName val="0"/>
          <c:showSerName val="0"/>
          <c:showPercent val="0"/>
          <c:showBubbleSize val="0"/>
        </c:dLbls>
        <c:smooth val="0"/>
        <c:axId val="362139424"/>
        <c:axId val="362141064"/>
      </c:lineChart>
      <c:catAx>
        <c:axId val="362139424"/>
        <c:scaling>
          <c:orientation val="minMax"/>
        </c:scaling>
        <c:delete val="0"/>
        <c:axPos val="b"/>
        <c:majorGridlines>
          <c:spPr>
            <a:ln w="9525" cap="flat" cmpd="sng" algn="ctr">
              <a:solidFill>
                <a:schemeClr val="bg1">
                  <a:lumMod val="50000"/>
                  <a:alpha val="32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540000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crossAx val="362141064"/>
        <c:crosses val="autoZero"/>
        <c:auto val="1"/>
        <c:lblAlgn val="ctr"/>
        <c:lblOffset val="100"/>
        <c:noMultiLvlLbl val="0"/>
      </c:catAx>
      <c:valAx>
        <c:axId val="362141064"/>
        <c:scaling>
          <c:orientation val="minMax"/>
        </c:scaling>
        <c:delete val="0"/>
        <c:axPos val="l"/>
        <c:majorGridlines>
          <c:spPr>
            <a:ln w="9525" cap="flat" cmpd="sng" algn="ctr">
              <a:solidFill>
                <a:schemeClr val="bg1">
                  <a:lumMod val="50000"/>
                  <a:alpha val="32000"/>
                </a:schemeClr>
              </a:solidFill>
              <a:round/>
            </a:ln>
            <a:effectLst/>
          </c:spPr>
        </c:majorGridlines>
        <c:numFmt formatCode="#,##0"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362139424"/>
        <c:crosses val="autoZero"/>
        <c:crossBetween val="between"/>
      </c:valAx>
      <c:spPr>
        <a:solidFill>
          <a:schemeClr val="bg1"/>
        </a:solidFill>
        <a:ln>
          <a:noFill/>
        </a:ln>
        <a:effectLst/>
      </c:spPr>
    </c:plotArea>
    <c:legend>
      <c:legendPos val="t"/>
      <c:layout>
        <c:manualLayout>
          <c:xMode val="edge"/>
          <c:yMode val="edge"/>
          <c:x val="0.20758980490225845"/>
          <c:y val="7.0905984051244111E-2"/>
          <c:w val="0.57115092286664015"/>
          <c:h val="4.779684039782231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latin typeface="Arial Narrow" panose="020B0606020202030204" pitchFamily="34" charset="0"/>
              </a:defRPr>
            </a:pPr>
            <a:r>
              <a:rPr lang="en-US" sz="2000">
                <a:latin typeface="Arial Narrow" panose="020B0606020202030204" pitchFamily="34" charset="0"/>
              </a:rPr>
              <a:t>Bread: Panbaked bread (Kg) versus Wheat Processed (Kg)</a:t>
            </a:r>
          </a:p>
        </c:rich>
      </c:tx>
      <c:layout>
        <c:manualLayout>
          <c:xMode val="edge"/>
          <c:yMode val="edge"/>
          <c:x val="0.1986041938239709"/>
          <c:y val="8.3334060104585956E-3"/>
        </c:manualLayout>
      </c:layout>
      <c:overlay val="0"/>
    </c:title>
    <c:autoTitleDeleted val="0"/>
    <c:plotArea>
      <c:layout>
        <c:manualLayout>
          <c:layoutTarget val="inner"/>
          <c:xMode val="edge"/>
          <c:yMode val="edge"/>
          <c:x val="0.10797442627363886"/>
          <c:y val="0.12016416387281144"/>
          <c:w val="0.87971485450850662"/>
          <c:h val="0.77679002624671911"/>
        </c:manualLayout>
      </c:layout>
      <c:lineChart>
        <c:grouping val="standard"/>
        <c:varyColors val="0"/>
        <c:ser>
          <c:idx val="5"/>
          <c:order val="0"/>
          <c:marker>
            <c:symbol val="none"/>
          </c:marker>
          <c:cat>
            <c:strRef>
              <c:f>'Bread Baked from 1948'!$A$4:$A$74</c:f>
              <c:strCache>
                <c:ptCount val="71"/>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strCache>
            </c:strRef>
          </c:cat>
          <c:val>
            <c:numRef>
              <c:f>'Bread Baked from 1948'!$B$4:$B$42</c:f>
            </c:numRef>
          </c:val>
          <c:smooth val="0"/>
          <c:extLst>
            <c:ext xmlns:c16="http://schemas.microsoft.com/office/drawing/2014/chart" uri="{C3380CC4-5D6E-409C-BE32-E72D297353CC}">
              <c16:uniqueId val="{0000000C-5A24-4F21-8804-CEC6ADC3093D}"/>
            </c:ext>
          </c:extLst>
        </c:ser>
        <c:ser>
          <c:idx val="8"/>
          <c:order val="1"/>
          <c:marker>
            <c:symbol val="none"/>
          </c:marker>
          <c:cat>
            <c:strRef>
              <c:f>'Bread Baked from 1948'!$A$4:$A$74</c:f>
              <c:strCache>
                <c:ptCount val="71"/>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strCache>
            </c:strRef>
          </c:cat>
          <c:val>
            <c:numRef>
              <c:f>'Bread Baked from 1948'!$E$4:$E$42</c:f>
            </c:numRef>
          </c:val>
          <c:smooth val="0"/>
          <c:extLst>
            <c:ext xmlns:c16="http://schemas.microsoft.com/office/drawing/2014/chart" uri="{C3380CC4-5D6E-409C-BE32-E72D297353CC}">
              <c16:uniqueId val="{0000000E-5A24-4F21-8804-CEC6ADC3093D}"/>
            </c:ext>
          </c:extLst>
        </c:ser>
        <c:ser>
          <c:idx val="1"/>
          <c:order val="2"/>
          <c:cat>
            <c:strRef>
              <c:f>'Bread Baked from 1948'!$A$4:$A$74</c:f>
              <c:strCache>
                <c:ptCount val="71"/>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strCache>
            </c:strRef>
          </c:cat>
          <c:val>
            <c:numRef>
              <c:f>'Bread Baked from 1948'!$B$4:$B$42</c:f>
            </c:numRef>
          </c:val>
          <c:smooth val="0"/>
          <c:extLst>
            <c:ext xmlns:c16="http://schemas.microsoft.com/office/drawing/2014/chart" uri="{C3380CC4-5D6E-409C-BE32-E72D297353CC}">
              <c16:uniqueId val="{00000001-5A24-4F21-8804-CEC6ADC3093D}"/>
            </c:ext>
          </c:extLst>
        </c:ser>
        <c:ser>
          <c:idx val="3"/>
          <c:order val="3"/>
          <c:tx>
            <c:strRef>
              <c:f>'Bread Baked from 1948'!$J$2</c:f>
              <c:strCache>
                <c:ptCount val="1"/>
                <c:pt idx="0">
                  <c:v>White bread</c:v>
                </c:pt>
              </c:strCache>
            </c:strRef>
          </c:tx>
          <c:spPr>
            <a:ln>
              <a:solidFill>
                <a:schemeClr val="accent3">
                  <a:lumMod val="75000"/>
                </a:schemeClr>
              </a:solidFill>
            </a:ln>
          </c:spPr>
          <c:marker>
            <c:symbol val="none"/>
          </c:marker>
          <c:cat>
            <c:strRef>
              <c:f>'Bread Baked from 1948'!$A$4:$A$74</c:f>
              <c:strCache>
                <c:ptCount val="71"/>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strCache>
            </c:strRef>
          </c:cat>
          <c:val>
            <c:numRef>
              <c:f>'Bread Baked from 1948'!$J$4:$J$74</c:f>
              <c:numCache>
                <c:formatCode>#,##0</c:formatCode>
                <c:ptCount val="71"/>
                <c:pt idx="0">
                  <c:v>269712153.48799998</c:v>
                </c:pt>
                <c:pt idx="1">
                  <c:v>258461711.11199999</c:v>
                </c:pt>
                <c:pt idx="2">
                  <c:v>260441186.59999999</c:v>
                </c:pt>
                <c:pt idx="3">
                  <c:v>317327520.09600002</c:v>
                </c:pt>
                <c:pt idx="4">
                  <c:v>307119885.72800004</c:v>
                </c:pt>
                <c:pt idx="5">
                  <c:v>272056316.94400001</c:v>
                </c:pt>
                <c:pt idx="6">
                  <c:v>268998199.68000001</c:v>
                </c:pt>
                <c:pt idx="7">
                  <c:v>275575737.27200001</c:v>
                </c:pt>
                <c:pt idx="8">
                  <c:v>281119085.10399997</c:v>
                </c:pt>
                <c:pt idx="9">
                  <c:v>293476745.55199999</c:v>
                </c:pt>
                <c:pt idx="10">
                  <c:v>297691976.00799996</c:v>
                </c:pt>
                <c:pt idx="11">
                  <c:v>317342035.03999996</c:v>
                </c:pt>
                <c:pt idx="12">
                  <c:v>304357056.85600001</c:v>
                </c:pt>
                <c:pt idx="13">
                  <c:v>320902732.24000001</c:v>
                </c:pt>
                <c:pt idx="14">
                  <c:v>341137924.95199996</c:v>
                </c:pt>
                <c:pt idx="15">
                  <c:v>370920322.07999998</c:v>
                </c:pt>
                <c:pt idx="16">
                  <c:v>411726819.176</c:v>
                </c:pt>
                <c:pt idx="17">
                  <c:v>453332545.37599999</c:v>
                </c:pt>
                <c:pt idx="18">
                  <c:v>468043894.71199995</c:v>
                </c:pt>
                <c:pt idx="19">
                  <c:v>491964068.83200002</c:v>
                </c:pt>
                <c:pt idx="20">
                  <c:v>510100999.99999994</c:v>
                </c:pt>
                <c:pt idx="21">
                  <c:v>552523000</c:v>
                </c:pt>
                <c:pt idx="22">
                  <c:v>543117000</c:v>
                </c:pt>
                <c:pt idx="23">
                  <c:v>540402000</c:v>
                </c:pt>
                <c:pt idx="24">
                  <c:v>564467000</c:v>
                </c:pt>
                <c:pt idx="25">
                  <c:v>636231000</c:v>
                </c:pt>
                <c:pt idx="26">
                  <c:v>672375000</c:v>
                </c:pt>
                <c:pt idx="27">
                  <c:v>799405000</c:v>
                </c:pt>
                <c:pt idx="28">
                  <c:v>765949000</c:v>
                </c:pt>
                <c:pt idx="29">
                  <c:v>516186999.99999994</c:v>
                </c:pt>
                <c:pt idx="30">
                  <c:v>392130000</c:v>
                </c:pt>
                <c:pt idx="31">
                  <c:v>400573000</c:v>
                </c:pt>
                <c:pt idx="32">
                  <c:v>449911000</c:v>
                </c:pt>
                <c:pt idx="33">
                  <c:v>454973000</c:v>
                </c:pt>
                <c:pt idx="34">
                  <c:v>388626000</c:v>
                </c:pt>
                <c:pt idx="35">
                  <c:v>399802000</c:v>
                </c:pt>
                <c:pt idx="36">
                  <c:v>437703000</c:v>
                </c:pt>
                <c:pt idx="37">
                  <c:v>426480888.8888889</c:v>
                </c:pt>
                <c:pt idx="38">
                  <c:v>481851777.77777773</c:v>
                </c:pt>
                <c:pt idx="67">
                  <c:v>703632940.89999986</c:v>
                </c:pt>
                <c:pt idx="68">
                  <c:v>714054867</c:v>
                </c:pt>
                <c:pt idx="69">
                  <c:v>760815989.19999993</c:v>
                </c:pt>
                <c:pt idx="70">
                  <c:v>796070806.89999986</c:v>
                </c:pt>
              </c:numCache>
            </c:numRef>
          </c:val>
          <c:smooth val="0"/>
          <c:extLst>
            <c:ext xmlns:c16="http://schemas.microsoft.com/office/drawing/2014/chart" uri="{C3380CC4-5D6E-409C-BE32-E72D297353CC}">
              <c16:uniqueId val="{00000003-5A24-4F21-8804-CEC6ADC3093D}"/>
            </c:ext>
          </c:extLst>
        </c:ser>
        <c:ser>
          <c:idx val="4"/>
          <c:order val="4"/>
          <c:cat>
            <c:strRef>
              <c:f>'Bread Baked from 1948'!$A$4:$A$74</c:f>
              <c:strCache>
                <c:ptCount val="71"/>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strCache>
            </c:strRef>
          </c:cat>
          <c:val>
            <c:numRef>
              <c:f>'Bread Baked from 1948'!$E$4:$E$42</c:f>
            </c:numRef>
          </c:val>
          <c:smooth val="0"/>
          <c:extLst>
            <c:ext xmlns:c16="http://schemas.microsoft.com/office/drawing/2014/chart" uri="{C3380CC4-5D6E-409C-BE32-E72D297353CC}">
              <c16:uniqueId val="{00000005-5A24-4F21-8804-CEC6ADC3093D}"/>
            </c:ext>
          </c:extLst>
        </c:ser>
        <c:ser>
          <c:idx val="6"/>
          <c:order val="5"/>
          <c:tx>
            <c:strRef>
              <c:f>'Bread Baked from 1948'!$K$2</c:f>
              <c:strCache>
                <c:ptCount val="1"/>
                <c:pt idx="0">
                  <c:v>Brown bread</c:v>
                </c:pt>
              </c:strCache>
            </c:strRef>
          </c:tx>
          <c:spPr>
            <a:ln>
              <a:solidFill>
                <a:schemeClr val="accent6">
                  <a:lumMod val="75000"/>
                </a:schemeClr>
              </a:solidFill>
            </a:ln>
          </c:spPr>
          <c:marker>
            <c:symbol val="none"/>
          </c:marker>
          <c:cat>
            <c:strRef>
              <c:f>'Bread Baked from 1948'!$A$4:$A$74</c:f>
              <c:strCache>
                <c:ptCount val="71"/>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strCache>
            </c:strRef>
          </c:cat>
          <c:val>
            <c:numRef>
              <c:f>'Bread Baked from 1948'!$K$4:$K$74</c:f>
              <c:numCache>
                <c:formatCode>#,##0</c:formatCode>
                <c:ptCount val="71"/>
                <c:pt idx="0">
                  <c:v>47167671.303999998</c:v>
                </c:pt>
                <c:pt idx="1">
                  <c:v>68271039.104000002</c:v>
                </c:pt>
                <c:pt idx="2">
                  <c:v>92243376.304000005</c:v>
                </c:pt>
                <c:pt idx="3">
                  <c:v>82703882.952000007</c:v>
                </c:pt>
                <c:pt idx="4">
                  <c:v>91147044.439999998</c:v>
                </c:pt>
                <c:pt idx="5">
                  <c:v>127514236.63200001</c:v>
                </c:pt>
                <c:pt idx="6">
                  <c:v>155172008.83199999</c:v>
                </c:pt>
                <c:pt idx="7">
                  <c:v>162992842.09600002</c:v>
                </c:pt>
                <c:pt idx="8">
                  <c:v>167168156.456</c:v>
                </c:pt>
                <c:pt idx="9">
                  <c:v>172066042.87199998</c:v>
                </c:pt>
                <c:pt idx="10">
                  <c:v>179566186.59199998</c:v>
                </c:pt>
                <c:pt idx="11">
                  <c:v>190096324.87200001</c:v>
                </c:pt>
                <c:pt idx="12">
                  <c:v>185884723.15199998</c:v>
                </c:pt>
                <c:pt idx="13">
                  <c:v>186228545.88799998</c:v>
                </c:pt>
                <c:pt idx="14">
                  <c:v>193731864.752</c:v>
                </c:pt>
                <c:pt idx="15">
                  <c:v>200858248.66399997</c:v>
                </c:pt>
                <c:pt idx="16">
                  <c:v>207897542.912</c:v>
                </c:pt>
                <c:pt idx="17">
                  <c:v>215306061.04800001</c:v>
                </c:pt>
                <c:pt idx="18">
                  <c:v>227240066.56800002</c:v>
                </c:pt>
                <c:pt idx="19">
                  <c:v>232404665.08000001</c:v>
                </c:pt>
                <c:pt idx="20">
                  <c:v>230887000</c:v>
                </c:pt>
                <c:pt idx="21">
                  <c:v>231189000</c:v>
                </c:pt>
                <c:pt idx="22">
                  <c:v>276064000</c:v>
                </c:pt>
                <c:pt idx="23">
                  <c:v>319465000</c:v>
                </c:pt>
                <c:pt idx="24">
                  <c:v>329257000</c:v>
                </c:pt>
                <c:pt idx="25">
                  <c:v>329113000</c:v>
                </c:pt>
                <c:pt idx="26">
                  <c:v>340265000</c:v>
                </c:pt>
                <c:pt idx="27">
                  <c:v>394133000</c:v>
                </c:pt>
                <c:pt idx="28">
                  <c:v>423308000</c:v>
                </c:pt>
                <c:pt idx="29">
                  <c:v>696844000</c:v>
                </c:pt>
                <c:pt idx="30">
                  <c:v>899567000</c:v>
                </c:pt>
                <c:pt idx="31">
                  <c:v>1029347000</c:v>
                </c:pt>
                <c:pt idx="32">
                  <c:v>1080168000</c:v>
                </c:pt>
                <c:pt idx="33">
                  <c:v>1040937000.0000001</c:v>
                </c:pt>
                <c:pt idx="34">
                  <c:v>1110014000</c:v>
                </c:pt>
                <c:pt idx="35">
                  <c:v>1157411000</c:v>
                </c:pt>
                <c:pt idx="36">
                  <c:v>1188202000</c:v>
                </c:pt>
                <c:pt idx="37">
                  <c:v>1149557000</c:v>
                </c:pt>
                <c:pt idx="38">
                  <c:v>1137966777.7777777</c:v>
                </c:pt>
                <c:pt idx="67">
                  <c:v>713825270.69999993</c:v>
                </c:pt>
                <c:pt idx="68">
                  <c:v>746612560.69999993</c:v>
                </c:pt>
                <c:pt idx="69">
                  <c:v>786828622.70000005</c:v>
                </c:pt>
                <c:pt idx="70">
                  <c:v>813420515.20000005</c:v>
                </c:pt>
              </c:numCache>
            </c:numRef>
          </c:val>
          <c:smooth val="0"/>
          <c:extLst>
            <c:ext xmlns:c16="http://schemas.microsoft.com/office/drawing/2014/chart" uri="{C3380CC4-5D6E-409C-BE32-E72D297353CC}">
              <c16:uniqueId val="{00000007-5A24-4F21-8804-CEC6ADC3093D}"/>
            </c:ext>
          </c:extLst>
        </c:ser>
        <c:ser>
          <c:idx val="0"/>
          <c:order val="6"/>
          <c:tx>
            <c:v>Total Panbaked bread</c:v>
          </c:tx>
          <c:spPr>
            <a:ln>
              <a:solidFill>
                <a:srgbClr val="0000FF"/>
              </a:solidFill>
            </a:ln>
          </c:spPr>
          <c:marker>
            <c:symbol val="none"/>
          </c:marker>
          <c:cat>
            <c:strRef>
              <c:f>'Bread Baked from 1948'!$A$4:$A$74</c:f>
              <c:strCache>
                <c:ptCount val="71"/>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strCache>
            </c:strRef>
          </c:cat>
          <c:val>
            <c:numRef>
              <c:f>'Bread Baked from 1948'!$L$4:$L$74</c:f>
              <c:numCache>
                <c:formatCode>#,##0</c:formatCode>
                <c:ptCount val="71"/>
                <c:pt idx="0">
                  <c:v>316879824.792</c:v>
                </c:pt>
                <c:pt idx="1">
                  <c:v>326732750.21599996</c:v>
                </c:pt>
                <c:pt idx="2">
                  <c:v>352684562.90399998</c:v>
                </c:pt>
                <c:pt idx="3">
                  <c:v>400031403.04800004</c:v>
                </c:pt>
                <c:pt idx="4">
                  <c:v>398266930.16800004</c:v>
                </c:pt>
                <c:pt idx="5">
                  <c:v>399570553.57600003</c:v>
                </c:pt>
                <c:pt idx="6">
                  <c:v>424170208.51200002</c:v>
                </c:pt>
                <c:pt idx="7">
                  <c:v>438568579.36799997</c:v>
                </c:pt>
                <c:pt idx="8">
                  <c:v>448287241.55999994</c:v>
                </c:pt>
                <c:pt idx="9">
                  <c:v>465542788.42399997</c:v>
                </c:pt>
                <c:pt idx="10">
                  <c:v>477258162.59999996</c:v>
                </c:pt>
                <c:pt idx="11">
                  <c:v>507438359.91199994</c:v>
                </c:pt>
                <c:pt idx="12">
                  <c:v>490241780.00800002</c:v>
                </c:pt>
                <c:pt idx="13">
                  <c:v>507131278.12799996</c:v>
                </c:pt>
                <c:pt idx="14">
                  <c:v>534869789.704</c:v>
                </c:pt>
                <c:pt idx="15">
                  <c:v>571778570.74399996</c:v>
                </c:pt>
                <c:pt idx="16">
                  <c:v>619624362.08800006</c:v>
                </c:pt>
                <c:pt idx="17">
                  <c:v>668638606.42399991</c:v>
                </c:pt>
                <c:pt idx="18">
                  <c:v>695283961.27999997</c:v>
                </c:pt>
                <c:pt idx="19">
                  <c:v>724368733.91200006</c:v>
                </c:pt>
                <c:pt idx="20">
                  <c:v>740988000</c:v>
                </c:pt>
                <c:pt idx="21">
                  <c:v>783712000</c:v>
                </c:pt>
                <c:pt idx="22">
                  <c:v>819181000.00000012</c:v>
                </c:pt>
                <c:pt idx="23">
                  <c:v>859866999.99999988</c:v>
                </c:pt>
                <c:pt idx="24">
                  <c:v>893724000.00000012</c:v>
                </c:pt>
                <c:pt idx="25">
                  <c:v>965344000</c:v>
                </c:pt>
                <c:pt idx="26">
                  <c:v>1012640000</c:v>
                </c:pt>
                <c:pt idx="27">
                  <c:v>1193538000</c:v>
                </c:pt>
                <c:pt idx="28">
                  <c:v>1189257000</c:v>
                </c:pt>
                <c:pt idx="29">
                  <c:v>1213031000</c:v>
                </c:pt>
                <c:pt idx="30">
                  <c:v>1291697000</c:v>
                </c:pt>
                <c:pt idx="31">
                  <c:v>1429920000</c:v>
                </c:pt>
                <c:pt idx="32">
                  <c:v>1530079000.0000002</c:v>
                </c:pt>
                <c:pt idx="33">
                  <c:v>1495910000.0000002</c:v>
                </c:pt>
                <c:pt idx="34">
                  <c:v>1498639999.9999998</c:v>
                </c:pt>
                <c:pt idx="35">
                  <c:v>1557213000</c:v>
                </c:pt>
                <c:pt idx="36">
                  <c:v>1625905000</c:v>
                </c:pt>
                <c:pt idx="37">
                  <c:v>1576037888.8888888</c:v>
                </c:pt>
                <c:pt idx="38">
                  <c:v>1619818555.5555556</c:v>
                </c:pt>
                <c:pt idx="67">
                  <c:v>1417458211.5999999</c:v>
                </c:pt>
                <c:pt idx="68">
                  <c:v>1460667427.6999998</c:v>
                </c:pt>
                <c:pt idx="69">
                  <c:v>1547644611.9000001</c:v>
                </c:pt>
                <c:pt idx="70">
                  <c:v>1609491322.0999997</c:v>
                </c:pt>
              </c:numCache>
            </c:numRef>
          </c:val>
          <c:smooth val="0"/>
          <c:extLst>
            <c:ext xmlns:c16="http://schemas.microsoft.com/office/drawing/2014/chart" uri="{C3380CC4-5D6E-409C-BE32-E72D297353CC}">
              <c16:uniqueId val="{00000009-5A24-4F21-8804-CEC6ADC3093D}"/>
            </c:ext>
          </c:extLst>
        </c:ser>
        <c:ser>
          <c:idx val="2"/>
          <c:order val="7"/>
          <c:tx>
            <c:v>Wheat processed</c:v>
          </c:tx>
          <c:spPr>
            <a:ln>
              <a:solidFill>
                <a:srgbClr val="FF0000"/>
              </a:solidFill>
            </a:ln>
          </c:spPr>
          <c:marker>
            <c:symbol val="none"/>
          </c:marker>
          <c:cat>
            <c:strRef>
              <c:f>'Bread Baked from 1948'!$A$4:$A$74</c:f>
              <c:strCache>
                <c:ptCount val="71"/>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strCache>
            </c:strRef>
          </c:cat>
          <c:val>
            <c:numRef>
              <c:f>'Bread Baked from 1948'!$P$4:$P$74</c:f>
              <c:numCache>
                <c:formatCode>#,##0</c:formatCode>
                <c:ptCount val="71"/>
                <c:pt idx="0">
                  <c:v>693400000</c:v>
                </c:pt>
                <c:pt idx="1">
                  <c:v>705400000</c:v>
                </c:pt>
                <c:pt idx="2">
                  <c:v>784900000</c:v>
                </c:pt>
                <c:pt idx="3">
                  <c:v>807900000</c:v>
                </c:pt>
                <c:pt idx="4">
                  <c:v>827600000</c:v>
                </c:pt>
                <c:pt idx="5">
                  <c:v>800000000</c:v>
                </c:pt>
                <c:pt idx="6">
                  <c:v>837000000</c:v>
                </c:pt>
                <c:pt idx="7">
                  <c:v>886800000</c:v>
                </c:pt>
                <c:pt idx="8">
                  <c:v>867500000</c:v>
                </c:pt>
                <c:pt idx="9">
                  <c:v>904600000</c:v>
                </c:pt>
                <c:pt idx="10">
                  <c:v>930700000</c:v>
                </c:pt>
                <c:pt idx="11">
                  <c:v>909400000</c:v>
                </c:pt>
                <c:pt idx="12">
                  <c:v>903300000</c:v>
                </c:pt>
                <c:pt idx="13">
                  <c:v>918300000</c:v>
                </c:pt>
                <c:pt idx="14">
                  <c:v>974100000</c:v>
                </c:pt>
                <c:pt idx="15">
                  <c:v>1018100000</c:v>
                </c:pt>
                <c:pt idx="16">
                  <c:v>1087500000</c:v>
                </c:pt>
                <c:pt idx="17">
                  <c:v>1343000000</c:v>
                </c:pt>
                <c:pt idx="18">
                  <c:v>962000000</c:v>
                </c:pt>
                <c:pt idx="19">
                  <c:v>1229000000</c:v>
                </c:pt>
                <c:pt idx="20">
                  <c:v>1250000000</c:v>
                </c:pt>
                <c:pt idx="21">
                  <c:v>1437000000</c:v>
                </c:pt>
                <c:pt idx="22">
                  <c:v>1165000000</c:v>
                </c:pt>
                <c:pt idx="23">
                  <c:v>1402000000</c:v>
                </c:pt>
                <c:pt idx="24">
                  <c:v>1288000000</c:v>
                </c:pt>
                <c:pt idx="25">
                  <c:v>1483000000</c:v>
                </c:pt>
                <c:pt idx="26">
                  <c:v>1612000000</c:v>
                </c:pt>
                <c:pt idx="27">
                  <c:v>1709000000</c:v>
                </c:pt>
                <c:pt idx="28">
                  <c:v>1681000000</c:v>
                </c:pt>
                <c:pt idx="29">
                  <c:v>1675000000</c:v>
                </c:pt>
                <c:pt idx="30">
                  <c:v>1903000000</c:v>
                </c:pt>
                <c:pt idx="31">
                  <c:v>1781000000</c:v>
                </c:pt>
                <c:pt idx="32">
                  <c:v>2030000000</c:v>
                </c:pt>
                <c:pt idx="33">
                  <c:v>1998000000</c:v>
                </c:pt>
                <c:pt idx="34">
                  <c:v>1983000000</c:v>
                </c:pt>
                <c:pt idx="35">
                  <c:v>2388000000</c:v>
                </c:pt>
                <c:pt idx="36">
                  <c:v>2232000000</c:v>
                </c:pt>
                <c:pt idx="37">
                  <c:v>2236000000</c:v>
                </c:pt>
                <c:pt idx="38">
                  <c:v>2345000000</c:v>
                </c:pt>
                <c:pt idx="39">
                  <c:v>2614019000</c:v>
                </c:pt>
                <c:pt idx="40">
                  <c:v>2349962000</c:v>
                </c:pt>
                <c:pt idx="41">
                  <c:v>2307429000</c:v>
                </c:pt>
                <c:pt idx="42">
                  <c:v>2173797000</c:v>
                </c:pt>
                <c:pt idx="43">
                  <c:v>2142905000</c:v>
                </c:pt>
                <c:pt idx="44">
                  <c:v>2132378000</c:v>
                </c:pt>
                <c:pt idx="45">
                  <c:v>2259101000</c:v>
                </c:pt>
                <c:pt idx="46">
                  <c:v>2353056000</c:v>
                </c:pt>
                <c:pt idx="47">
                  <c:v>2418665000</c:v>
                </c:pt>
                <c:pt idx="48">
                  <c:v>2564600000</c:v>
                </c:pt>
                <c:pt idx="49">
                  <c:v>2181000000</c:v>
                </c:pt>
                <c:pt idx="50">
                  <c:v>2400000000</c:v>
                </c:pt>
                <c:pt idx="51">
                  <c:v>2371000000</c:v>
                </c:pt>
                <c:pt idx="52">
                  <c:v>2427000000</c:v>
                </c:pt>
                <c:pt idx="53">
                  <c:v>2541000000</c:v>
                </c:pt>
                <c:pt idx="54">
                  <c:v>2577000000</c:v>
                </c:pt>
                <c:pt idx="55">
                  <c:v>2653000000</c:v>
                </c:pt>
                <c:pt idx="56">
                  <c:v>2736000000</c:v>
                </c:pt>
                <c:pt idx="57">
                  <c:v>2793000000</c:v>
                </c:pt>
                <c:pt idx="58">
                  <c:v>2820000000</c:v>
                </c:pt>
                <c:pt idx="59">
                  <c:v>2845000000</c:v>
                </c:pt>
                <c:pt idx="60">
                  <c:v>2857000000</c:v>
                </c:pt>
                <c:pt idx="61">
                  <c:v>3017000000</c:v>
                </c:pt>
                <c:pt idx="62">
                  <c:v>2945000000</c:v>
                </c:pt>
                <c:pt idx="63">
                  <c:v>3202000000</c:v>
                </c:pt>
                <c:pt idx="64">
                  <c:v>3040086000</c:v>
                </c:pt>
                <c:pt idx="65">
                  <c:v>3175834000</c:v>
                </c:pt>
                <c:pt idx="66">
                  <c:v>3112718000</c:v>
                </c:pt>
                <c:pt idx="67">
                  <c:v>3144414000</c:v>
                </c:pt>
                <c:pt idx="68">
                  <c:v>3163196000</c:v>
                </c:pt>
                <c:pt idx="69">
                  <c:v>3229861000</c:v>
                </c:pt>
                <c:pt idx="70">
                  <c:v>3254656000</c:v>
                </c:pt>
              </c:numCache>
            </c:numRef>
          </c:val>
          <c:smooth val="0"/>
          <c:extLst>
            <c:ext xmlns:c16="http://schemas.microsoft.com/office/drawing/2014/chart" uri="{C3380CC4-5D6E-409C-BE32-E72D297353CC}">
              <c16:uniqueId val="{0000000B-5A24-4F21-8804-CEC6ADC3093D}"/>
            </c:ext>
          </c:extLst>
        </c:ser>
        <c:dLbls>
          <c:showLegendKey val="0"/>
          <c:showVal val="0"/>
          <c:showCatName val="0"/>
          <c:showSerName val="0"/>
          <c:showPercent val="0"/>
          <c:showBubbleSize val="0"/>
        </c:dLbls>
        <c:smooth val="0"/>
        <c:axId val="119842304"/>
        <c:axId val="119843840"/>
      </c:lineChart>
      <c:catAx>
        <c:axId val="119842304"/>
        <c:scaling>
          <c:orientation val="minMax"/>
        </c:scaling>
        <c:delete val="0"/>
        <c:axPos val="b"/>
        <c:numFmt formatCode="General" sourceLinked="0"/>
        <c:majorTickMark val="out"/>
        <c:minorTickMark val="none"/>
        <c:tickLblPos val="nextTo"/>
        <c:txPr>
          <a:bodyPr rot="-5400000" vert="horz"/>
          <a:lstStyle/>
          <a:p>
            <a:pPr>
              <a:defRPr sz="1200">
                <a:latin typeface="Arial Narrow" panose="020B0606020202030204" pitchFamily="34" charset="0"/>
              </a:defRPr>
            </a:pPr>
            <a:endParaRPr lang="en-US"/>
          </a:p>
        </c:txPr>
        <c:crossAx val="119843840"/>
        <c:crosses val="autoZero"/>
        <c:auto val="1"/>
        <c:lblAlgn val="ctr"/>
        <c:lblOffset val="100"/>
        <c:noMultiLvlLbl val="0"/>
      </c:catAx>
      <c:valAx>
        <c:axId val="119843840"/>
        <c:scaling>
          <c:orientation val="minMax"/>
        </c:scaling>
        <c:delete val="0"/>
        <c:axPos val="l"/>
        <c:majorGridlines/>
        <c:numFmt formatCode="#,##0" sourceLinked="1"/>
        <c:majorTickMark val="out"/>
        <c:minorTickMark val="none"/>
        <c:tickLblPos val="nextTo"/>
        <c:txPr>
          <a:bodyPr/>
          <a:lstStyle/>
          <a:p>
            <a:pPr>
              <a:defRPr sz="1200">
                <a:latin typeface="Arial Narrow" panose="020B0606020202030204" pitchFamily="34" charset="0"/>
              </a:defRPr>
            </a:pPr>
            <a:endParaRPr lang="en-US"/>
          </a:p>
        </c:txPr>
        <c:crossAx val="119842304"/>
        <c:crosses val="autoZero"/>
        <c:crossBetween val="between"/>
      </c:valAx>
      <c:spPr>
        <a:noFill/>
        <a:ln w="25400">
          <a:noFill/>
        </a:ln>
      </c:spPr>
    </c:plotArea>
    <c:legend>
      <c:legendPos val="t"/>
      <c:layout>
        <c:manualLayout>
          <c:xMode val="edge"/>
          <c:yMode val="edge"/>
          <c:x val="9.6012321664572534E-2"/>
          <c:y val="6.4479200382682095E-2"/>
          <c:w val="0.87355817082477705"/>
          <c:h val="4.9862040682414698E-2"/>
        </c:manualLayout>
      </c:layout>
      <c:overlay val="0"/>
      <c:txPr>
        <a:bodyPr/>
        <a:lstStyle/>
        <a:p>
          <a:pPr>
            <a:defRPr sz="1600">
              <a:latin typeface="Arial Narrow" panose="020B0606020202030204" pitchFamily="34" charset="0"/>
            </a:defRPr>
          </a:pPr>
          <a:endParaRPr lang="en-US"/>
        </a:p>
      </c:txPr>
    </c:legend>
    <c:plotVisOnly val="1"/>
    <c:dispBlanksAs val="gap"/>
    <c:showDLblsOverMax val="0"/>
  </c:chart>
  <c:spPr>
    <a:solidFill>
      <a:schemeClr val="bg1">
        <a:lumMod val="95000"/>
      </a:schemeClr>
    </a:solidFill>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latin typeface="Arial Narrow" panose="020B0606020202030204" pitchFamily="34" charset="0"/>
              </a:defRPr>
            </a:pPr>
            <a:r>
              <a:rPr lang="en-US" sz="1800">
                <a:latin typeface="Arial Narrow" panose="020B0606020202030204" pitchFamily="34" charset="0"/>
              </a:rPr>
              <a:t>Wheaten Products</a:t>
            </a:r>
          </a:p>
        </c:rich>
      </c:tx>
      <c:layout>
        <c:manualLayout>
          <c:xMode val="edge"/>
          <c:yMode val="edge"/>
          <c:x val="0.40726137029925447"/>
          <c:y val="6.2500000000000003E-3"/>
        </c:manualLayout>
      </c:layout>
      <c:overlay val="0"/>
    </c:title>
    <c:autoTitleDeleted val="0"/>
    <c:plotArea>
      <c:layout>
        <c:manualLayout>
          <c:layoutTarget val="inner"/>
          <c:xMode val="edge"/>
          <c:yMode val="edge"/>
          <c:x val="6.6623700403368777E-2"/>
          <c:y val="0.10183858267716535"/>
          <c:w val="0.90516428779756664"/>
          <c:h val="0.8012422900262467"/>
        </c:manualLayout>
      </c:layout>
      <c:lineChart>
        <c:grouping val="standard"/>
        <c:varyColors val="0"/>
        <c:ser>
          <c:idx val="0"/>
          <c:order val="0"/>
          <c:tx>
            <c:strRef>
              <c:f>'Total Flour'!$C$2:$C$3</c:f>
              <c:strCache>
                <c:ptCount val="2"/>
                <c:pt idx="0">
                  <c:v>Cake flour</c:v>
                </c:pt>
              </c:strCache>
            </c:strRef>
          </c:tx>
          <c:spPr>
            <a:ln>
              <a:solidFill>
                <a:srgbClr val="0000FF"/>
              </a:solidFill>
            </a:ln>
          </c:spPr>
          <c:marker>
            <c:symbol val="none"/>
          </c:marker>
          <c:cat>
            <c:strRef>
              <c:f>'Total Flour'!$A$4:$A$74</c:f>
              <c:strCache>
                <c:ptCount val="71"/>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strCache>
            </c:strRef>
          </c:cat>
          <c:val>
            <c:numRef>
              <c:f>'Total Flour'!$C$4:$C$74</c:f>
              <c:numCache>
                <c:formatCode>#,##0</c:formatCode>
                <c:ptCount val="71"/>
                <c:pt idx="0">
                  <c:v>76769.085224000009</c:v>
                </c:pt>
                <c:pt idx="1">
                  <c:v>103465.242384</c:v>
                </c:pt>
                <c:pt idx="2">
                  <c:v>109075.26824</c:v>
                </c:pt>
                <c:pt idx="3">
                  <c:v>111114.16428</c:v>
                </c:pt>
                <c:pt idx="4">
                  <c:v>96826.469872000001</c:v>
                </c:pt>
                <c:pt idx="5">
                  <c:v>95853.515031999996</c:v>
                </c:pt>
                <c:pt idx="6">
                  <c:v>101573.31015200001</c:v>
                </c:pt>
                <c:pt idx="7">
                  <c:v>100884.75749599999</c:v>
                </c:pt>
                <c:pt idx="8">
                  <c:v>98598.200224</c:v>
                </c:pt>
                <c:pt idx="9">
                  <c:v>95187.641975999999</c:v>
                </c:pt>
                <c:pt idx="10">
                  <c:v>95202.156919999994</c:v>
                </c:pt>
                <c:pt idx="11">
                  <c:v>91654.160296000002</c:v>
                </c:pt>
                <c:pt idx="12">
                  <c:v>94700.03057599999</c:v>
                </c:pt>
                <c:pt idx="13">
                  <c:v>94528.572799999994</c:v>
                </c:pt>
                <c:pt idx="14">
                  <c:v>100998</c:v>
                </c:pt>
                <c:pt idx="15">
                  <c:v>108053</c:v>
                </c:pt>
                <c:pt idx="16">
                  <c:v>107437</c:v>
                </c:pt>
                <c:pt idx="17">
                  <c:v>117322</c:v>
                </c:pt>
                <c:pt idx="18">
                  <c:v>114667</c:v>
                </c:pt>
                <c:pt idx="19">
                  <c:v>118043</c:v>
                </c:pt>
                <c:pt idx="20">
                  <c:v>126972</c:v>
                </c:pt>
                <c:pt idx="21">
                  <c:v>127784</c:v>
                </c:pt>
                <c:pt idx="22">
                  <c:v>131544</c:v>
                </c:pt>
                <c:pt idx="23">
                  <c:v>137313</c:v>
                </c:pt>
                <c:pt idx="24">
                  <c:v>143210</c:v>
                </c:pt>
                <c:pt idx="25">
                  <c:v>158068</c:v>
                </c:pt>
                <c:pt idx="26">
                  <c:v>151690</c:v>
                </c:pt>
                <c:pt idx="27">
                  <c:v>152431</c:v>
                </c:pt>
                <c:pt idx="28">
                  <c:v>149689</c:v>
                </c:pt>
                <c:pt idx="29">
                  <c:v>173647</c:v>
                </c:pt>
                <c:pt idx="30">
                  <c:v>183408</c:v>
                </c:pt>
                <c:pt idx="31">
                  <c:v>186426</c:v>
                </c:pt>
                <c:pt idx="32">
                  <c:v>208108</c:v>
                </c:pt>
                <c:pt idx="33">
                  <c:v>194823</c:v>
                </c:pt>
                <c:pt idx="34">
                  <c:v>195599</c:v>
                </c:pt>
                <c:pt idx="35">
                  <c:v>226515</c:v>
                </c:pt>
                <c:pt idx="36">
                  <c:v>218446</c:v>
                </c:pt>
                <c:pt idx="37">
                  <c:v>214325</c:v>
                </c:pt>
                <c:pt idx="38">
                  <c:v>225572</c:v>
                </c:pt>
                <c:pt idx="39">
                  <c:v>242463</c:v>
                </c:pt>
                <c:pt idx="40">
                  <c:v>261997</c:v>
                </c:pt>
                <c:pt idx="41">
                  <c:v>281013</c:v>
                </c:pt>
                <c:pt idx="42">
                  <c:v>278205</c:v>
                </c:pt>
                <c:pt idx="43">
                  <c:v>285139</c:v>
                </c:pt>
                <c:pt idx="44">
                  <c:v>293651</c:v>
                </c:pt>
                <c:pt idx="67">
                  <c:v>821935</c:v>
                </c:pt>
                <c:pt idx="68">
                  <c:v>859666</c:v>
                </c:pt>
                <c:pt idx="69">
                  <c:v>884754</c:v>
                </c:pt>
                <c:pt idx="70">
                  <c:v>953185</c:v>
                </c:pt>
              </c:numCache>
            </c:numRef>
          </c:val>
          <c:smooth val="0"/>
          <c:extLst>
            <c:ext xmlns:c16="http://schemas.microsoft.com/office/drawing/2014/chart" uri="{C3380CC4-5D6E-409C-BE32-E72D297353CC}">
              <c16:uniqueId val="{00000000-0C5B-4281-A93A-BB21304BCADB}"/>
            </c:ext>
          </c:extLst>
        </c:ser>
        <c:ser>
          <c:idx val="2"/>
          <c:order val="1"/>
          <c:tx>
            <c:v>White Bread Flour</c:v>
          </c:tx>
          <c:spPr>
            <a:ln>
              <a:solidFill>
                <a:srgbClr val="FF0000"/>
              </a:solidFill>
            </a:ln>
          </c:spPr>
          <c:marker>
            <c:symbol val="none"/>
          </c:marker>
          <c:cat>
            <c:strRef>
              <c:f>'Total Flour'!$A$4:$A$74</c:f>
              <c:strCache>
                <c:ptCount val="71"/>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strCache>
            </c:strRef>
          </c:cat>
          <c:val>
            <c:numRef>
              <c:f>'Total Flour'!$E$4:$E$74</c:f>
              <c:numCache>
                <c:formatCode>#,##0</c:formatCode>
                <c:ptCount val="71"/>
                <c:pt idx="0">
                  <c:v>138681.671672</c:v>
                </c:pt>
                <c:pt idx="1">
                  <c:v>129928.253256</c:v>
                </c:pt>
                <c:pt idx="2">
                  <c:v>146503.41212000002</c:v>
                </c:pt>
                <c:pt idx="3">
                  <c:v>157749.31857600002</c:v>
                </c:pt>
                <c:pt idx="4">
                  <c:v>175070.182688</c:v>
                </c:pt>
                <c:pt idx="5">
                  <c:v>149344.25881599999</c:v>
                </c:pt>
                <c:pt idx="6">
                  <c:v>149862.26087999999</c:v>
                </c:pt>
                <c:pt idx="7">
                  <c:v>163370.684232</c:v>
                </c:pt>
                <c:pt idx="8">
                  <c:v>159704.30009599999</c:v>
                </c:pt>
                <c:pt idx="9">
                  <c:v>171903.20334399998</c:v>
                </c:pt>
                <c:pt idx="10">
                  <c:v>167296.06940000001</c:v>
                </c:pt>
                <c:pt idx="11">
                  <c:v>163736.27938399999</c:v>
                </c:pt>
                <c:pt idx="12">
                  <c:v>161810.32775199998</c:v>
                </c:pt>
                <c:pt idx="13">
                  <c:v>161513.22499199997</c:v>
                </c:pt>
                <c:pt idx="14">
                  <c:v>163812</c:v>
                </c:pt>
                <c:pt idx="15">
                  <c:v>172978</c:v>
                </c:pt>
                <c:pt idx="16">
                  <c:v>194800</c:v>
                </c:pt>
                <c:pt idx="17">
                  <c:v>205439</c:v>
                </c:pt>
                <c:pt idx="18">
                  <c:v>206922</c:v>
                </c:pt>
                <c:pt idx="19">
                  <c:v>218700</c:v>
                </c:pt>
                <c:pt idx="20">
                  <c:v>208633</c:v>
                </c:pt>
                <c:pt idx="21">
                  <c:v>222480</c:v>
                </c:pt>
                <c:pt idx="22">
                  <c:v>241409</c:v>
                </c:pt>
                <c:pt idx="23">
                  <c:v>245005</c:v>
                </c:pt>
                <c:pt idx="24">
                  <c:v>264684</c:v>
                </c:pt>
                <c:pt idx="25">
                  <c:v>283391</c:v>
                </c:pt>
                <c:pt idx="26">
                  <c:v>294609</c:v>
                </c:pt>
                <c:pt idx="27">
                  <c:v>319580</c:v>
                </c:pt>
                <c:pt idx="28">
                  <c:v>285606</c:v>
                </c:pt>
                <c:pt idx="29">
                  <c:v>267374</c:v>
                </c:pt>
                <c:pt idx="30">
                  <c:v>250423</c:v>
                </c:pt>
                <c:pt idx="31">
                  <c:v>211293</c:v>
                </c:pt>
                <c:pt idx="32">
                  <c:v>249874</c:v>
                </c:pt>
                <c:pt idx="33">
                  <c:v>213955</c:v>
                </c:pt>
                <c:pt idx="34">
                  <c:v>200812</c:v>
                </c:pt>
                <c:pt idx="35">
                  <c:v>218233</c:v>
                </c:pt>
                <c:pt idx="36">
                  <c:v>215720</c:v>
                </c:pt>
                <c:pt idx="37">
                  <c:v>211353</c:v>
                </c:pt>
                <c:pt idx="38">
                  <c:v>219206</c:v>
                </c:pt>
                <c:pt idx="39">
                  <c:v>236075</c:v>
                </c:pt>
                <c:pt idx="40">
                  <c:v>260553</c:v>
                </c:pt>
                <c:pt idx="41">
                  <c:v>286072</c:v>
                </c:pt>
                <c:pt idx="42">
                  <c:v>288768</c:v>
                </c:pt>
                <c:pt idx="43">
                  <c:v>267583</c:v>
                </c:pt>
                <c:pt idx="44">
                  <c:v>250298</c:v>
                </c:pt>
                <c:pt idx="67">
                  <c:v>1114696</c:v>
                </c:pt>
                <c:pt idx="68">
                  <c:v>1086256</c:v>
                </c:pt>
                <c:pt idx="69">
                  <c:v>1139270</c:v>
                </c:pt>
                <c:pt idx="70">
                  <c:v>1131181</c:v>
                </c:pt>
              </c:numCache>
            </c:numRef>
          </c:val>
          <c:smooth val="0"/>
          <c:extLst>
            <c:ext xmlns:c16="http://schemas.microsoft.com/office/drawing/2014/chart" uri="{C3380CC4-5D6E-409C-BE32-E72D297353CC}">
              <c16:uniqueId val="{00000001-0C5B-4281-A93A-BB21304BCADB}"/>
            </c:ext>
          </c:extLst>
        </c:ser>
        <c:ser>
          <c:idx val="3"/>
          <c:order val="2"/>
          <c:tx>
            <c:v>Brown Bread Flour</c:v>
          </c:tx>
          <c:spPr>
            <a:ln>
              <a:solidFill>
                <a:schemeClr val="accent6">
                  <a:lumMod val="75000"/>
                </a:schemeClr>
              </a:solidFill>
            </a:ln>
          </c:spPr>
          <c:marker>
            <c:symbol val="none"/>
          </c:marker>
          <c:cat>
            <c:strRef>
              <c:f>'Total Flour'!$A$4:$A$74</c:f>
              <c:strCache>
                <c:ptCount val="71"/>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strCache>
            </c:strRef>
          </c:cat>
          <c:val>
            <c:numRef>
              <c:f>'Total Flour'!$F$4:$F$74</c:f>
              <c:numCache>
                <c:formatCode>#,##0</c:formatCode>
                <c:ptCount val="71"/>
                <c:pt idx="0">
                  <c:v>43174.700927999998</c:v>
                </c:pt>
                <c:pt idx="1">
                  <c:v>26822.255735999999</c:v>
                </c:pt>
                <c:pt idx="2">
                  <c:v>27571.136127999998</c:v>
                </c:pt>
                <c:pt idx="3">
                  <c:v>32758.867832</c:v>
                </c:pt>
                <c:pt idx="4">
                  <c:v>38382.047855999997</c:v>
                </c:pt>
                <c:pt idx="5">
                  <c:v>47002.563816000002</c:v>
                </c:pt>
                <c:pt idx="6">
                  <c:v>56828.273719999997</c:v>
                </c:pt>
                <c:pt idx="7">
                  <c:v>62171.437176000007</c:v>
                </c:pt>
                <c:pt idx="8">
                  <c:v>62333.973416000001</c:v>
                </c:pt>
                <c:pt idx="9">
                  <c:v>66771.01036</c:v>
                </c:pt>
                <c:pt idx="10">
                  <c:v>71163.595287999997</c:v>
                </c:pt>
                <c:pt idx="11">
                  <c:v>81371.229655999996</c:v>
                </c:pt>
                <c:pt idx="12">
                  <c:v>65723.666431999998</c:v>
                </c:pt>
                <c:pt idx="13">
                  <c:v>73235.603543999998</c:v>
                </c:pt>
                <c:pt idx="14">
                  <c:v>79845</c:v>
                </c:pt>
                <c:pt idx="15">
                  <c:v>79410</c:v>
                </c:pt>
                <c:pt idx="16">
                  <c:v>83408</c:v>
                </c:pt>
                <c:pt idx="17">
                  <c:v>86540</c:v>
                </c:pt>
                <c:pt idx="18">
                  <c:v>84637</c:v>
                </c:pt>
                <c:pt idx="19">
                  <c:v>90248</c:v>
                </c:pt>
                <c:pt idx="20">
                  <c:v>84733</c:v>
                </c:pt>
                <c:pt idx="21">
                  <c:v>86475</c:v>
                </c:pt>
                <c:pt idx="22">
                  <c:v>88983</c:v>
                </c:pt>
                <c:pt idx="23">
                  <c:v>92356</c:v>
                </c:pt>
                <c:pt idx="24">
                  <c:v>95511</c:v>
                </c:pt>
                <c:pt idx="25">
                  <c:v>101271</c:v>
                </c:pt>
                <c:pt idx="26">
                  <c:v>99538</c:v>
                </c:pt>
                <c:pt idx="27">
                  <c:v>115188</c:v>
                </c:pt>
                <c:pt idx="28">
                  <c:v>114315</c:v>
                </c:pt>
                <c:pt idx="29">
                  <c:v>103574</c:v>
                </c:pt>
                <c:pt idx="30">
                  <c:v>105989</c:v>
                </c:pt>
                <c:pt idx="31">
                  <c:v>99021</c:v>
                </c:pt>
                <c:pt idx="32">
                  <c:v>105600</c:v>
                </c:pt>
                <c:pt idx="33">
                  <c:v>106035</c:v>
                </c:pt>
                <c:pt idx="34">
                  <c:v>105461</c:v>
                </c:pt>
                <c:pt idx="35">
                  <c:v>126768</c:v>
                </c:pt>
                <c:pt idx="36">
                  <c:v>117874</c:v>
                </c:pt>
                <c:pt idx="37">
                  <c:v>114326</c:v>
                </c:pt>
                <c:pt idx="38">
                  <c:v>115058</c:v>
                </c:pt>
                <c:pt idx="39">
                  <c:v>104631</c:v>
                </c:pt>
                <c:pt idx="40">
                  <c:v>95415</c:v>
                </c:pt>
                <c:pt idx="41">
                  <c:v>95379</c:v>
                </c:pt>
                <c:pt idx="42">
                  <c:v>95443</c:v>
                </c:pt>
                <c:pt idx="43">
                  <c:v>91447</c:v>
                </c:pt>
                <c:pt idx="44">
                  <c:v>100096</c:v>
                </c:pt>
                <c:pt idx="67">
                  <c:v>402431</c:v>
                </c:pt>
                <c:pt idx="68">
                  <c:v>427996</c:v>
                </c:pt>
                <c:pt idx="69">
                  <c:v>408574</c:v>
                </c:pt>
                <c:pt idx="70">
                  <c:v>396131</c:v>
                </c:pt>
              </c:numCache>
            </c:numRef>
          </c:val>
          <c:smooth val="0"/>
          <c:extLst>
            <c:ext xmlns:c16="http://schemas.microsoft.com/office/drawing/2014/chart" uri="{C3380CC4-5D6E-409C-BE32-E72D297353CC}">
              <c16:uniqueId val="{00000002-0C5B-4281-A93A-BB21304BCADB}"/>
            </c:ext>
          </c:extLst>
        </c:ser>
        <c:ser>
          <c:idx val="6"/>
          <c:order val="3"/>
          <c:tx>
            <c:strRef>
              <c:f>'Total Flour'!$J$2:$J$3</c:f>
              <c:strCache>
                <c:ptCount val="2"/>
                <c:pt idx="0">
                  <c:v>Semolina</c:v>
                </c:pt>
              </c:strCache>
            </c:strRef>
          </c:tx>
          <c:spPr>
            <a:ln>
              <a:solidFill>
                <a:schemeClr val="bg2">
                  <a:lumMod val="50000"/>
                </a:schemeClr>
              </a:solidFill>
            </a:ln>
          </c:spPr>
          <c:marker>
            <c:symbol val="none"/>
          </c:marker>
          <c:cat>
            <c:strRef>
              <c:f>'Total Flour'!$A$4:$A$74</c:f>
              <c:strCache>
                <c:ptCount val="71"/>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strCache>
            </c:strRef>
          </c:cat>
          <c:val>
            <c:numRef>
              <c:f>'Total Flour'!$J$4:$J$74</c:f>
              <c:numCache>
                <c:formatCode>#,##0</c:formatCode>
                <c:ptCount val="71"/>
                <c:pt idx="0">
                  <c:v>553.38223999999991</c:v>
                </c:pt>
                <c:pt idx="1">
                  <c:v>877.24692800000003</c:v>
                </c:pt>
                <c:pt idx="2">
                  <c:v>803.76502399999993</c:v>
                </c:pt>
                <c:pt idx="3">
                  <c:v>862.27839199999994</c:v>
                </c:pt>
                <c:pt idx="4">
                  <c:v>1153.4844560000001</c:v>
                </c:pt>
                <c:pt idx="5">
                  <c:v>876.33974399999988</c:v>
                </c:pt>
                <c:pt idx="6">
                  <c:v>1085.8992479999999</c:v>
                </c:pt>
                <c:pt idx="7">
                  <c:v>1580.5154320000001</c:v>
                </c:pt>
                <c:pt idx="8">
                  <c:v>1249.6459600000001</c:v>
                </c:pt>
                <c:pt idx="9">
                  <c:v>1635.652752</c:v>
                </c:pt>
                <c:pt idx="10">
                  <c:v>1929.5803679999999</c:v>
                </c:pt>
                <c:pt idx="11">
                  <c:v>2154.5619999999999</c:v>
                </c:pt>
                <c:pt idx="12">
                  <c:v>3065.8283279999996</c:v>
                </c:pt>
                <c:pt idx="13">
                  <c:v>3527.1313919999998</c:v>
                </c:pt>
                <c:pt idx="14">
                  <c:v>2867.0298320000002</c:v>
                </c:pt>
                <c:pt idx="15">
                  <c:v>2997.71416</c:v>
                </c:pt>
                <c:pt idx="16">
                  <c:v>2561.8342560000001</c:v>
                </c:pt>
                <c:pt idx="17">
                  <c:v>2578.7131279999999</c:v>
                </c:pt>
                <c:pt idx="18">
                  <c:v>2676</c:v>
                </c:pt>
                <c:pt idx="19">
                  <c:v>2591</c:v>
                </c:pt>
                <c:pt idx="20">
                  <c:v>4043</c:v>
                </c:pt>
                <c:pt idx="21">
                  <c:v>5285</c:v>
                </c:pt>
                <c:pt idx="22">
                  <c:v>2818</c:v>
                </c:pt>
                <c:pt idx="23">
                  <c:v>1892</c:v>
                </c:pt>
                <c:pt idx="24">
                  <c:v>2882</c:v>
                </c:pt>
                <c:pt idx="25">
                  <c:v>8236</c:v>
                </c:pt>
                <c:pt idx="26">
                  <c:v>9207</c:v>
                </c:pt>
                <c:pt idx="27">
                  <c:v>15830</c:v>
                </c:pt>
                <c:pt idx="28">
                  <c:v>8234</c:v>
                </c:pt>
                <c:pt idx="29">
                  <c:v>9205</c:v>
                </c:pt>
                <c:pt idx="30">
                  <c:v>12668</c:v>
                </c:pt>
                <c:pt idx="31">
                  <c:v>13186</c:v>
                </c:pt>
                <c:pt idx="32">
                  <c:v>14951</c:v>
                </c:pt>
                <c:pt idx="33">
                  <c:v>12184</c:v>
                </c:pt>
                <c:pt idx="34">
                  <c:v>12452</c:v>
                </c:pt>
                <c:pt idx="35">
                  <c:v>7411</c:v>
                </c:pt>
                <c:pt idx="36">
                  <c:v>2675</c:v>
                </c:pt>
                <c:pt idx="37">
                  <c:v>2519</c:v>
                </c:pt>
                <c:pt idx="38">
                  <c:v>5852</c:v>
                </c:pt>
                <c:pt idx="39">
                  <c:v>5796</c:v>
                </c:pt>
                <c:pt idx="40">
                  <c:v>4407</c:v>
                </c:pt>
                <c:pt idx="41">
                  <c:v>3495</c:v>
                </c:pt>
                <c:pt idx="42">
                  <c:v>4258</c:v>
                </c:pt>
                <c:pt idx="43">
                  <c:v>20884</c:v>
                </c:pt>
                <c:pt idx="44">
                  <c:v>20816</c:v>
                </c:pt>
                <c:pt idx="67">
                  <c:v>16334</c:v>
                </c:pt>
                <c:pt idx="68">
                  <c:v>18782</c:v>
                </c:pt>
                <c:pt idx="69">
                  <c:v>18675</c:v>
                </c:pt>
                <c:pt idx="70">
                  <c:v>7192</c:v>
                </c:pt>
              </c:numCache>
            </c:numRef>
          </c:val>
          <c:smooth val="0"/>
          <c:extLst>
            <c:ext xmlns:c16="http://schemas.microsoft.com/office/drawing/2014/chart" uri="{C3380CC4-5D6E-409C-BE32-E72D297353CC}">
              <c16:uniqueId val="{00000003-0C5B-4281-A93A-BB21304BCADB}"/>
            </c:ext>
          </c:extLst>
        </c:ser>
        <c:dLbls>
          <c:showLegendKey val="0"/>
          <c:showVal val="0"/>
          <c:showCatName val="0"/>
          <c:showSerName val="0"/>
          <c:showPercent val="0"/>
          <c:showBubbleSize val="0"/>
        </c:dLbls>
        <c:smooth val="0"/>
        <c:axId val="122535296"/>
        <c:axId val="122541184"/>
      </c:lineChart>
      <c:catAx>
        <c:axId val="122535296"/>
        <c:scaling>
          <c:orientation val="minMax"/>
        </c:scaling>
        <c:delete val="0"/>
        <c:axPos val="b"/>
        <c:numFmt formatCode="General" sourceLinked="0"/>
        <c:majorTickMark val="none"/>
        <c:minorTickMark val="none"/>
        <c:tickLblPos val="nextTo"/>
        <c:txPr>
          <a:bodyPr rot="-5400000" vert="horz"/>
          <a:lstStyle/>
          <a:p>
            <a:pPr>
              <a:defRPr sz="1100">
                <a:latin typeface="Arial Narrow" panose="020B0606020202030204" pitchFamily="34" charset="0"/>
              </a:defRPr>
            </a:pPr>
            <a:endParaRPr lang="en-US"/>
          </a:p>
        </c:txPr>
        <c:crossAx val="122541184"/>
        <c:crosses val="autoZero"/>
        <c:auto val="1"/>
        <c:lblAlgn val="ctr"/>
        <c:lblOffset val="100"/>
        <c:noMultiLvlLbl val="0"/>
      </c:catAx>
      <c:valAx>
        <c:axId val="122541184"/>
        <c:scaling>
          <c:orientation val="minMax"/>
        </c:scaling>
        <c:delete val="0"/>
        <c:axPos val="l"/>
        <c:majorGridlines/>
        <c:numFmt formatCode="#,##0" sourceLinked="1"/>
        <c:majorTickMark val="none"/>
        <c:minorTickMark val="none"/>
        <c:tickLblPos val="nextTo"/>
        <c:spPr>
          <a:ln w="9525">
            <a:noFill/>
          </a:ln>
        </c:spPr>
        <c:txPr>
          <a:bodyPr/>
          <a:lstStyle/>
          <a:p>
            <a:pPr>
              <a:defRPr sz="1100">
                <a:latin typeface="Arial Narrow" panose="020B0606020202030204" pitchFamily="34" charset="0"/>
              </a:defRPr>
            </a:pPr>
            <a:endParaRPr lang="en-US"/>
          </a:p>
        </c:txPr>
        <c:crossAx val="122535296"/>
        <c:crosses val="autoZero"/>
        <c:crossBetween val="between"/>
      </c:valAx>
    </c:plotArea>
    <c:legend>
      <c:legendPos val="b"/>
      <c:layout>
        <c:manualLayout>
          <c:xMode val="edge"/>
          <c:yMode val="edge"/>
          <c:x val="6.9303347706639776E-2"/>
          <c:y val="4.8623031496062993E-2"/>
          <c:w val="0.85318623850325759"/>
          <c:h val="6.3876968503937009E-2"/>
        </c:manualLayout>
      </c:layout>
      <c:overlay val="0"/>
      <c:txPr>
        <a:bodyPr/>
        <a:lstStyle/>
        <a:p>
          <a:pPr>
            <a:defRPr sz="1200">
              <a:latin typeface="Arial Narrow" panose="020B0606020202030204" pitchFamily="34" charset="0"/>
            </a:defRPr>
          </a:pPr>
          <a:endParaRPr lang="en-US"/>
        </a:p>
      </c:txPr>
    </c:legend>
    <c:plotVisOnly val="1"/>
    <c:dispBlanksAs val="gap"/>
    <c:showDLblsOverMax val="0"/>
  </c:chart>
  <c:spPr>
    <a:solidFill>
      <a:schemeClr val="bg1">
        <a:lumMod val="95000"/>
      </a:schemeClr>
    </a:solidFill>
  </c:sp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22"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15"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290779" cy="608975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0.54759</cdr:x>
      <cdr:y>0.3891</cdr:y>
    </cdr:from>
    <cdr:to>
      <cdr:x>0.93788</cdr:x>
      <cdr:y>0.60612</cdr:y>
    </cdr:to>
    <cdr:cxnSp macro="">
      <cdr:nvCxnSpPr>
        <cdr:cNvPr id="9" name="Straight Connector 8"/>
        <cdr:cNvCxnSpPr/>
      </cdr:nvCxnSpPr>
      <cdr:spPr>
        <a:xfrm xmlns:a="http://schemas.openxmlformats.org/drawingml/2006/main">
          <a:off x="5082602" y="2365635"/>
          <a:ext cx="3622623" cy="1319447"/>
        </a:xfrm>
        <a:prstGeom xmlns:a="http://schemas.openxmlformats.org/drawingml/2006/main" prst="line">
          <a:avLst/>
        </a:prstGeom>
        <a:ln xmlns:a="http://schemas.openxmlformats.org/drawingml/2006/main" w="28575">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0.55011</cdr:x>
      <cdr:y>0.46101</cdr:y>
    </cdr:from>
    <cdr:to>
      <cdr:x>0.94218</cdr:x>
      <cdr:y>0.68884</cdr:y>
    </cdr:to>
    <cdr:cxnSp macro="">
      <cdr:nvCxnSpPr>
        <cdr:cNvPr id="11" name="Straight Connector 10"/>
        <cdr:cNvCxnSpPr/>
      </cdr:nvCxnSpPr>
      <cdr:spPr>
        <a:xfrm xmlns:a="http://schemas.openxmlformats.org/drawingml/2006/main">
          <a:off x="5107363" y="2803561"/>
          <a:ext cx="3640086" cy="1385495"/>
        </a:xfrm>
        <a:prstGeom xmlns:a="http://schemas.openxmlformats.org/drawingml/2006/main" prst="line">
          <a:avLst/>
        </a:prstGeom>
        <a:ln xmlns:a="http://schemas.openxmlformats.org/drawingml/2006/main" w="28575">
          <a:solidFill>
            <a:srgbClr val="C00000"/>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0.97082</cdr:y>
    </cdr:from>
    <cdr:to>
      <cdr:x>0.26076</cdr:x>
      <cdr:y>1</cdr:y>
    </cdr:to>
    <cdr:sp macro="" textlink="">
      <cdr:nvSpPr>
        <cdr:cNvPr id="14" name="TextBox 13"/>
        <cdr:cNvSpPr txBox="1"/>
      </cdr:nvSpPr>
      <cdr:spPr>
        <a:xfrm xmlns:a="http://schemas.openxmlformats.org/drawingml/2006/main">
          <a:off x="0" y="5902377"/>
          <a:ext cx="2420286" cy="1774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ZA" sz="800" i="1">
              <a:solidFill>
                <a:schemeClr val="bg1">
                  <a:lumMod val="50000"/>
                </a:schemeClr>
              </a:solidFill>
            </a:rPr>
            <a:t>I:Wheaten Prod Hist Info - Maize: Maize</a:t>
          </a:r>
          <a:r>
            <a:rPr lang="en-ZA" sz="800" i="1" baseline="0">
              <a:solidFill>
                <a:schemeClr val="bg1">
                  <a:lumMod val="50000"/>
                </a:schemeClr>
              </a:solidFill>
            </a:rPr>
            <a:t> Prod Hist Info</a:t>
          </a:r>
          <a:endParaRPr lang="en-ZA" sz="800" i="1">
            <a:solidFill>
              <a:schemeClr val="bg1">
                <a:lumMod val="50000"/>
              </a:schemeClr>
            </a:solidFill>
          </a:endParaRPr>
        </a:p>
      </cdr:txBody>
    </cdr:sp>
  </cdr:relSizeAnchor>
  <cdr:relSizeAnchor xmlns:cdr="http://schemas.openxmlformats.org/drawingml/2006/chartDrawing">
    <cdr:from>
      <cdr:x>0.22437</cdr:x>
      <cdr:y>0.00385</cdr:y>
    </cdr:from>
    <cdr:to>
      <cdr:x>0.77059</cdr:x>
      <cdr:y>0.06538</cdr:y>
    </cdr:to>
    <cdr:sp macro="" textlink="">
      <cdr:nvSpPr>
        <cdr:cNvPr id="2" name="TextBox 1"/>
        <cdr:cNvSpPr txBox="1"/>
      </cdr:nvSpPr>
      <cdr:spPr>
        <a:xfrm xmlns:a="http://schemas.openxmlformats.org/drawingml/2006/main">
          <a:off x="2084570" y="23422"/>
          <a:ext cx="5074795" cy="374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ZA" sz="1800" b="1"/>
            <a:t>Per capita use of Whole Wheat &amp; Pan Baked Bread</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0779" cy="608975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0.58485</cdr:x>
      <cdr:y>0.64513</cdr:y>
    </cdr:from>
    <cdr:to>
      <cdr:x>0.95264</cdr:x>
      <cdr:y>0.73932</cdr:y>
    </cdr:to>
    <cdr:cxnSp macro="">
      <cdr:nvCxnSpPr>
        <cdr:cNvPr id="3" name="Straight Connector 2"/>
        <cdr:cNvCxnSpPr/>
      </cdr:nvCxnSpPr>
      <cdr:spPr>
        <a:xfrm xmlns:a="http://schemas.openxmlformats.org/drawingml/2006/main">
          <a:off x="5428485" y="3922279"/>
          <a:ext cx="3413756" cy="572655"/>
        </a:xfrm>
        <a:prstGeom xmlns:a="http://schemas.openxmlformats.org/drawingml/2006/main" prst="line">
          <a:avLst/>
        </a:prstGeom>
        <a:ln xmlns:a="http://schemas.openxmlformats.org/drawingml/2006/main">
          <a:solidFill>
            <a:schemeClr val="accent6">
              <a:lumMod val="75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0.58301</cdr:x>
      <cdr:y>0.74231</cdr:y>
    </cdr:from>
    <cdr:to>
      <cdr:x>0.94369</cdr:x>
      <cdr:y>0.78886</cdr:y>
    </cdr:to>
    <cdr:cxnSp macro="">
      <cdr:nvCxnSpPr>
        <cdr:cNvPr id="5" name="Straight Connector 4"/>
        <cdr:cNvCxnSpPr/>
      </cdr:nvCxnSpPr>
      <cdr:spPr>
        <a:xfrm xmlns:a="http://schemas.openxmlformats.org/drawingml/2006/main" flipV="1">
          <a:off x="5411373" y="4513087"/>
          <a:ext cx="3347763" cy="283014"/>
        </a:xfrm>
        <a:prstGeom xmlns:a="http://schemas.openxmlformats.org/drawingml/2006/main" prst="line">
          <a:avLst/>
        </a:prstGeom>
        <a:ln xmlns:a="http://schemas.openxmlformats.org/drawingml/2006/main">
          <a:solidFill>
            <a:schemeClr val="accent3">
              <a:lumMod val="75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0.98108</cdr:x>
      <cdr:y>0.65832</cdr:y>
    </cdr:from>
    <cdr:to>
      <cdr:x>0.98108</cdr:x>
      <cdr:y>0.71147</cdr:y>
    </cdr:to>
    <cdr:cxnSp macro="">
      <cdr:nvCxnSpPr>
        <cdr:cNvPr id="21" name="Straight Arrow Connector 20"/>
        <cdr:cNvCxnSpPr/>
      </cdr:nvCxnSpPr>
      <cdr:spPr>
        <a:xfrm xmlns:a="http://schemas.openxmlformats.org/drawingml/2006/main">
          <a:off x="9111167" y="4007870"/>
          <a:ext cx="0" cy="323580"/>
        </a:xfrm>
        <a:prstGeom xmlns:a="http://schemas.openxmlformats.org/drawingml/2006/main" prst="straightConnector1">
          <a:avLst/>
        </a:prstGeom>
        <a:ln xmlns:a="http://schemas.openxmlformats.org/drawingml/2006/main">
          <a:solidFill>
            <a:sysClr val="windowText" lastClr="000000"/>
          </a:solidFill>
          <a:prstDash val="dash"/>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0.9804</cdr:x>
      <cdr:y>0.72184</cdr:y>
    </cdr:from>
    <cdr:to>
      <cdr:x>0.9804</cdr:x>
      <cdr:y>0.77499</cdr:y>
    </cdr:to>
    <cdr:cxnSp macro="">
      <cdr:nvCxnSpPr>
        <cdr:cNvPr id="37" name="Straight Arrow Connector 36"/>
        <cdr:cNvCxnSpPr/>
      </cdr:nvCxnSpPr>
      <cdr:spPr>
        <a:xfrm xmlns:a="http://schemas.openxmlformats.org/drawingml/2006/main" flipV="1">
          <a:off x="9104852" y="4394627"/>
          <a:ext cx="0" cy="323580"/>
        </a:xfrm>
        <a:prstGeom xmlns:a="http://schemas.openxmlformats.org/drawingml/2006/main" prst="straightConnector1">
          <a:avLst/>
        </a:prstGeom>
        <a:ln xmlns:a="http://schemas.openxmlformats.org/drawingml/2006/main">
          <a:solidFill>
            <a:sysClr val="windowText" lastClr="000000"/>
          </a:solidFill>
          <a:prstDash val="dash"/>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0.00508</cdr:x>
      <cdr:y>0.94251</cdr:y>
    </cdr:from>
    <cdr:to>
      <cdr:x>0.09151</cdr:x>
      <cdr:y>0.99279</cdr:y>
    </cdr:to>
    <cdr:sp macro="" textlink="">
      <cdr:nvSpPr>
        <cdr:cNvPr id="2" name="TextBox 1"/>
        <cdr:cNvSpPr txBox="1"/>
      </cdr:nvSpPr>
      <cdr:spPr>
        <a:xfrm xmlns:a="http://schemas.openxmlformats.org/drawingml/2006/main">
          <a:off x="47231" y="5754361"/>
          <a:ext cx="802934" cy="3070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ZA" sz="700" i="1">
              <a:solidFill>
                <a:schemeClr val="tx1">
                  <a:lumMod val="50000"/>
                  <a:lumOff val="50000"/>
                </a:schemeClr>
              </a:solidFill>
              <a:latin typeface="Arial Narrow" panose="020B0606020202030204" pitchFamily="34" charset="0"/>
            </a:rPr>
            <a:t>I:Wheaten Prod</a:t>
          </a:r>
          <a:r>
            <a:rPr lang="en-ZA" sz="700" i="1" baseline="0">
              <a:solidFill>
                <a:schemeClr val="tx1">
                  <a:lumMod val="50000"/>
                  <a:lumOff val="50000"/>
                </a:schemeClr>
              </a:solidFill>
              <a:latin typeface="Arial Narrow" panose="020B0606020202030204" pitchFamily="34" charset="0"/>
            </a:rPr>
            <a:t> Hist Info</a:t>
          </a:r>
          <a:endParaRPr lang="en-ZA" sz="700" i="1">
            <a:solidFill>
              <a:schemeClr val="tx1">
                <a:lumMod val="50000"/>
                <a:lumOff val="50000"/>
              </a:schemeClr>
            </a:solidFill>
            <a:latin typeface="Arial Narrow" panose="020B0606020202030204" pitchFamily="34" charset="0"/>
          </a:endParaRPr>
        </a:p>
      </cdr:txBody>
    </cdr:sp>
  </cdr:relSizeAnchor>
  <cdr:relSizeAnchor xmlns:cdr="http://schemas.openxmlformats.org/drawingml/2006/chartDrawing">
    <cdr:from>
      <cdr:x>0.4967</cdr:x>
      <cdr:y>0.302</cdr:y>
    </cdr:from>
    <cdr:to>
      <cdr:x>0.61091</cdr:x>
      <cdr:y>0.34086</cdr:y>
    </cdr:to>
    <cdr:sp macro="" textlink="">
      <cdr:nvSpPr>
        <cdr:cNvPr id="19" name="TextBox 18"/>
        <cdr:cNvSpPr txBox="1"/>
      </cdr:nvSpPr>
      <cdr:spPr>
        <a:xfrm xmlns:a="http://schemas.openxmlformats.org/drawingml/2006/main">
          <a:off x="4610293" y="1836092"/>
          <a:ext cx="1060076" cy="2362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ZA" sz="1100">
              <a:latin typeface="Arial Narrow" panose="020B0606020202030204" pitchFamily="34" charset="0"/>
            </a:rPr>
            <a:t>2 345 000 Ton</a:t>
          </a:r>
        </a:p>
      </cdr:txBody>
    </cdr:sp>
  </cdr:relSizeAnchor>
  <cdr:relSizeAnchor xmlns:cdr="http://schemas.openxmlformats.org/drawingml/2006/chartDrawing">
    <cdr:from>
      <cdr:x>0.55707</cdr:x>
      <cdr:y>0.54463</cdr:y>
    </cdr:from>
    <cdr:to>
      <cdr:x>0.67128</cdr:x>
      <cdr:y>0.58349</cdr:y>
    </cdr:to>
    <cdr:sp macro="" textlink="">
      <cdr:nvSpPr>
        <cdr:cNvPr id="25" name="TextBox 1"/>
        <cdr:cNvSpPr txBox="1"/>
      </cdr:nvSpPr>
      <cdr:spPr>
        <a:xfrm xmlns:a="http://schemas.openxmlformats.org/drawingml/2006/main">
          <a:off x="5183280" y="3309767"/>
          <a:ext cx="1062707" cy="2361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ZA" sz="1100">
              <a:latin typeface="Arial Narrow" panose="020B0606020202030204" pitchFamily="34" charset="0"/>
            </a:rPr>
            <a:t>1 619 818 Ton</a:t>
          </a:r>
        </a:p>
      </cdr:txBody>
    </cdr:sp>
  </cdr:relSizeAnchor>
  <cdr:relSizeAnchor xmlns:cdr="http://schemas.openxmlformats.org/drawingml/2006/chartDrawing">
    <cdr:from>
      <cdr:x>0.5825</cdr:x>
      <cdr:y>0.60684</cdr:y>
    </cdr:from>
    <cdr:to>
      <cdr:x>0.69671</cdr:x>
      <cdr:y>0.6457</cdr:y>
    </cdr:to>
    <cdr:sp macro="" textlink="">
      <cdr:nvSpPr>
        <cdr:cNvPr id="29" name="TextBox 1"/>
        <cdr:cNvSpPr txBox="1"/>
      </cdr:nvSpPr>
      <cdr:spPr>
        <a:xfrm xmlns:a="http://schemas.openxmlformats.org/drawingml/2006/main">
          <a:off x="5411854" y="3695530"/>
          <a:ext cx="1061100" cy="2366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ZA" sz="1100">
              <a:latin typeface="Arial Narrow" panose="020B0606020202030204" pitchFamily="34" charset="0"/>
            </a:rPr>
            <a:t>1 137 966 Ton</a:t>
          </a:r>
        </a:p>
      </cdr:txBody>
    </cdr:sp>
  </cdr:relSizeAnchor>
  <cdr:relSizeAnchor xmlns:cdr="http://schemas.openxmlformats.org/drawingml/2006/chartDrawing">
    <cdr:from>
      <cdr:x>0.58486</cdr:x>
      <cdr:y>0.53805</cdr:y>
    </cdr:from>
    <cdr:to>
      <cdr:x>0.94537</cdr:x>
      <cdr:y>0.58461</cdr:y>
    </cdr:to>
    <cdr:cxnSp macro="">
      <cdr:nvCxnSpPr>
        <cdr:cNvPr id="23" name="Straight Connector 6"/>
        <cdr:cNvCxnSpPr/>
      </cdr:nvCxnSpPr>
      <cdr:spPr>
        <a:xfrm xmlns:a="http://schemas.openxmlformats.org/drawingml/2006/main">
          <a:off x="5428566" y="3271255"/>
          <a:ext cx="3346185" cy="283075"/>
        </a:xfrm>
        <a:prstGeom xmlns:a="http://schemas.openxmlformats.org/drawingml/2006/main" prst="line">
          <a:avLst/>
        </a:prstGeom>
        <a:ln xmlns:a="http://schemas.openxmlformats.org/drawingml/2006/main">
          <a:solidFill>
            <a:srgbClr val="0000FF"/>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0.58646</cdr:x>
      <cdr:y>0.64576</cdr:y>
    </cdr:from>
    <cdr:to>
      <cdr:x>0.58668</cdr:x>
      <cdr:y>0.7858</cdr:y>
    </cdr:to>
    <cdr:cxnSp macro="">
      <cdr:nvCxnSpPr>
        <cdr:cNvPr id="24" name="Straight Arrow Connector 15"/>
        <cdr:cNvCxnSpPr/>
      </cdr:nvCxnSpPr>
      <cdr:spPr>
        <a:xfrm xmlns:a="http://schemas.openxmlformats.org/drawingml/2006/main" flipH="1">
          <a:off x="5446397" y="3931428"/>
          <a:ext cx="2043" cy="852572"/>
        </a:xfrm>
        <a:prstGeom xmlns:a="http://schemas.openxmlformats.org/drawingml/2006/main" prst="straightConnector1">
          <a:avLst/>
        </a:prstGeom>
        <a:ln xmlns:a="http://schemas.openxmlformats.org/drawingml/2006/main">
          <a:solidFill>
            <a:schemeClr val="tx1"/>
          </a:solidFill>
          <a:prstDash val="dash"/>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0.58474</cdr:x>
      <cdr:y>0.379</cdr:y>
    </cdr:from>
    <cdr:to>
      <cdr:x>0.58496</cdr:x>
      <cdr:y>0.53418</cdr:y>
    </cdr:to>
    <cdr:cxnSp macro="">
      <cdr:nvCxnSpPr>
        <cdr:cNvPr id="30" name="Straight Arrow Connector 17"/>
        <cdr:cNvCxnSpPr/>
      </cdr:nvCxnSpPr>
      <cdr:spPr>
        <a:xfrm xmlns:a="http://schemas.openxmlformats.org/drawingml/2006/main" flipH="1">
          <a:off x="5430430" y="2307376"/>
          <a:ext cx="2043" cy="944745"/>
        </a:xfrm>
        <a:prstGeom xmlns:a="http://schemas.openxmlformats.org/drawingml/2006/main" prst="straightConnector1">
          <a:avLst/>
        </a:prstGeom>
        <a:ln xmlns:a="http://schemas.openxmlformats.org/drawingml/2006/main">
          <a:solidFill>
            <a:schemeClr val="tx1"/>
          </a:solidFill>
          <a:prstDash val="sysDash"/>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0.9833</cdr:x>
      <cdr:y>0.19198</cdr:y>
    </cdr:from>
    <cdr:to>
      <cdr:x>0.98386</cdr:x>
      <cdr:y>0.52602</cdr:y>
    </cdr:to>
    <cdr:cxnSp macro="">
      <cdr:nvCxnSpPr>
        <cdr:cNvPr id="32" name="Straight Arrow Connector 26"/>
        <cdr:cNvCxnSpPr/>
      </cdr:nvCxnSpPr>
      <cdr:spPr>
        <a:xfrm xmlns:a="http://schemas.openxmlformats.org/drawingml/2006/main">
          <a:off x="9131784" y="1168758"/>
          <a:ext cx="5201" cy="2033656"/>
        </a:xfrm>
        <a:prstGeom xmlns:a="http://schemas.openxmlformats.org/drawingml/2006/main" prst="straightConnector1">
          <a:avLst/>
        </a:prstGeom>
        <a:ln xmlns:a="http://schemas.openxmlformats.org/drawingml/2006/main">
          <a:solidFill>
            <a:schemeClr val="tx1"/>
          </a:solidFill>
          <a:prstDash val="dash"/>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0.00508</cdr:x>
      <cdr:y>0.94251</cdr:y>
    </cdr:from>
    <cdr:to>
      <cdr:x>0.09151</cdr:x>
      <cdr:y>0.99279</cdr:y>
    </cdr:to>
    <cdr:sp macro="" textlink="">
      <cdr:nvSpPr>
        <cdr:cNvPr id="35" name="TextBox 1"/>
        <cdr:cNvSpPr txBox="1"/>
      </cdr:nvSpPr>
      <cdr:spPr>
        <a:xfrm xmlns:a="http://schemas.openxmlformats.org/drawingml/2006/main">
          <a:off x="47231" y="5754361"/>
          <a:ext cx="802934" cy="3070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ZA" sz="700" i="1">
              <a:solidFill>
                <a:schemeClr val="tx1">
                  <a:lumMod val="50000"/>
                  <a:lumOff val="50000"/>
                </a:schemeClr>
              </a:solidFill>
              <a:latin typeface="Arial Narrow" panose="020B0606020202030204" pitchFamily="34" charset="0"/>
            </a:rPr>
            <a:t>I:Wheaten Prod</a:t>
          </a:r>
          <a:r>
            <a:rPr lang="en-ZA" sz="700" i="1" baseline="0">
              <a:solidFill>
                <a:schemeClr val="tx1">
                  <a:lumMod val="50000"/>
                  <a:lumOff val="50000"/>
                </a:schemeClr>
              </a:solidFill>
              <a:latin typeface="Arial Narrow" panose="020B0606020202030204" pitchFamily="34" charset="0"/>
            </a:rPr>
            <a:t> Hist Info</a:t>
          </a:r>
          <a:endParaRPr lang="en-ZA" sz="700" i="1">
            <a:solidFill>
              <a:schemeClr val="tx1">
                <a:lumMod val="50000"/>
                <a:lumOff val="50000"/>
              </a:schemeClr>
            </a:solidFill>
            <a:latin typeface="Arial Narrow" panose="020B0606020202030204" pitchFamily="34" charset="0"/>
          </a:endParaRPr>
        </a:p>
      </cdr:txBody>
    </cdr:sp>
  </cdr:relSizeAnchor>
  <cdr:relSizeAnchor xmlns:cdr="http://schemas.openxmlformats.org/drawingml/2006/chartDrawing">
    <cdr:from>
      <cdr:x>0.89072</cdr:x>
      <cdr:y>0.22909</cdr:y>
    </cdr:from>
    <cdr:to>
      <cdr:x>0.99139</cdr:x>
      <cdr:y>0.26795</cdr:y>
    </cdr:to>
    <cdr:sp macro="" textlink="">
      <cdr:nvSpPr>
        <cdr:cNvPr id="39" name="TextBox 1"/>
        <cdr:cNvSpPr txBox="1"/>
      </cdr:nvSpPr>
      <cdr:spPr>
        <a:xfrm xmlns:a="http://schemas.openxmlformats.org/drawingml/2006/main">
          <a:off x="8267493" y="1392848"/>
          <a:ext cx="934400" cy="2362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ZA" sz="1100">
              <a:latin typeface="Arial Narrow" panose="020B0606020202030204" pitchFamily="34" charset="0"/>
            </a:rPr>
            <a:t>2</a:t>
          </a:r>
          <a:r>
            <a:rPr lang="en-ZA" sz="1100" baseline="0">
              <a:latin typeface="Arial Narrow" panose="020B0606020202030204" pitchFamily="34" charset="0"/>
            </a:rPr>
            <a:t> 979 812</a:t>
          </a:r>
          <a:r>
            <a:rPr lang="en-ZA" sz="1100">
              <a:latin typeface="Arial Narrow" panose="020B0606020202030204" pitchFamily="34" charset="0"/>
            </a:rPr>
            <a:t> Ton</a:t>
          </a:r>
        </a:p>
      </cdr:txBody>
    </cdr:sp>
  </cdr:relSizeAnchor>
  <cdr:relSizeAnchor xmlns:cdr="http://schemas.openxmlformats.org/drawingml/2006/chartDrawing">
    <cdr:from>
      <cdr:x>0.89716</cdr:x>
      <cdr:y>0.57967</cdr:y>
    </cdr:from>
    <cdr:to>
      <cdr:x>0.99784</cdr:x>
      <cdr:y>0.61853</cdr:y>
    </cdr:to>
    <cdr:sp macro="" textlink="">
      <cdr:nvSpPr>
        <cdr:cNvPr id="40" name="TextBox 1"/>
        <cdr:cNvSpPr txBox="1"/>
      </cdr:nvSpPr>
      <cdr:spPr>
        <a:xfrm xmlns:a="http://schemas.openxmlformats.org/drawingml/2006/main">
          <a:off x="8335318" y="3530046"/>
          <a:ext cx="935396" cy="2366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ZA" sz="1100">
              <a:latin typeface="Arial Narrow" panose="020B0606020202030204" pitchFamily="34" charset="0"/>
            </a:rPr>
            <a:t>1 474</a:t>
          </a:r>
          <a:r>
            <a:rPr lang="en-ZA" sz="1100" baseline="0">
              <a:latin typeface="Arial Narrow" panose="020B0606020202030204" pitchFamily="34" charset="0"/>
            </a:rPr>
            <a:t> 800</a:t>
          </a:r>
          <a:r>
            <a:rPr lang="en-ZA" sz="1100">
              <a:latin typeface="Arial Narrow" panose="020B0606020202030204" pitchFamily="34" charset="0"/>
            </a:rPr>
            <a:t> Ton</a:t>
          </a:r>
        </a:p>
      </cdr:txBody>
    </cdr:sp>
  </cdr:relSizeAnchor>
  <cdr:relSizeAnchor xmlns:cdr="http://schemas.openxmlformats.org/drawingml/2006/chartDrawing">
    <cdr:from>
      <cdr:x>0.57911</cdr:x>
      <cdr:y>0.78942</cdr:y>
    </cdr:from>
    <cdr:to>
      <cdr:x>0.69332</cdr:x>
      <cdr:y>0.82828</cdr:y>
    </cdr:to>
    <cdr:sp macro="" textlink="">
      <cdr:nvSpPr>
        <cdr:cNvPr id="44" name="TextBox 1"/>
        <cdr:cNvSpPr txBox="1"/>
      </cdr:nvSpPr>
      <cdr:spPr>
        <a:xfrm xmlns:a="http://schemas.openxmlformats.org/drawingml/2006/main">
          <a:off x="5380362" y="4807399"/>
          <a:ext cx="1061100" cy="2366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ZA" sz="1100">
              <a:latin typeface="Arial Narrow" panose="020B0606020202030204" pitchFamily="34" charset="0"/>
            </a:rPr>
            <a:t>481 851 Ton</a:t>
          </a:r>
        </a:p>
      </cdr:txBody>
    </cdr:sp>
  </cdr:relSizeAnchor>
  <cdr:relSizeAnchor xmlns:cdr="http://schemas.openxmlformats.org/drawingml/2006/chartDrawing">
    <cdr:from>
      <cdr:x>0.89932</cdr:x>
      <cdr:y>0.66898</cdr:y>
    </cdr:from>
    <cdr:to>
      <cdr:x>0.99492</cdr:x>
      <cdr:y>0.70784</cdr:y>
    </cdr:to>
    <cdr:sp macro="" textlink="">
      <cdr:nvSpPr>
        <cdr:cNvPr id="48" name="TextBox 1"/>
        <cdr:cNvSpPr txBox="1"/>
      </cdr:nvSpPr>
      <cdr:spPr>
        <a:xfrm xmlns:a="http://schemas.openxmlformats.org/drawingml/2006/main">
          <a:off x="8367831" y="4065470"/>
          <a:ext cx="889524" cy="2361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ZA" sz="1100">
              <a:latin typeface="Arial Narrow" panose="020B0606020202030204" pitchFamily="34" charset="0"/>
            </a:rPr>
            <a:t>745</a:t>
          </a:r>
          <a:r>
            <a:rPr lang="en-ZA" sz="1100" baseline="0">
              <a:latin typeface="Arial Narrow" panose="020B0606020202030204" pitchFamily="34" charset="0"/>
            </a:rPr>
            <a:t> 334</a:t>
          </a:r>
          <a:r>
            <a:rPr lang="en-ZA" sz="1100">
              <a:latin typeface="Arial Narrow" panose="020B0606020202030204" pitchFamily="34" charset="0"/>
            </a:rPr>
            <a:t> Ton</a:t>
          </a:r>
        </a:p>
      </cdr:txBody>
    </cdr:sp>
  </cdr:relSizeAnchor>
  <cdr:relSizeAnchor xmlns:cdr="http://schemas.openxmlformats.org/drawingml/2006/chartDrawing">
    <cdr:from>
      <cdr:x>0.89886</cdr:x>
      <cdr:y>0.75188</cdr:y>
    </cdr:from>
    <cdr:to>
      <cdr:x>0.99446</cdr:x>
      <cdr:y>0.79074</cdr:y>
    </cdr:to>
    <cdr:sp macro="" textlink="">
      <cdr:nvSpPr>
        <cdr:cNvPr id="49" name="TextBox 1"/>
        <cdr:cNvSpPr txBox="1"/>
      </cdr:nvSpPr>
      <cdr:spPr>
        <a:xfrm xmlns:a="http://schemas.openxmlformats.org/drawingml/2006/main">
          <a:off x="8363527" y="4569271"/>
          <a:ext cx="889524" cy="2361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ZA" sz="1100">
              <a:latin typeface="Arial Narrow" panose="020B0606020202030204" pitchFamily="34" charset="0"/>
            </a:rPr>
            <a:t>729</a:t>
          </a:r>
          <a:r>
            <a:rPr lang="en-ZA" sz="1100" baseline="0">
              <a:latin typeface="Arial Narrow" panose="020B0606020202030204" pitchFamily="34" charset="0"/>
            </a:rPr>
            <a:t> 466</a:t>
          </a:r>
          <a:r>
            <a:rPr lang="en-ZA" sz="1100">
              <a:latin typeface="Arial Narrow" panose="020B0606020202030204" pitchFamily="34" charset="0"/>
            </a:rPr>
            <a:t> Ton</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4804"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0.00808</cdr:x>
      <cdr:y>0.04348</cdr:y>
    </cdr:from>
    <cdr:to>
      <cdr:x>0.05992</cdr:x>
      <cdr:y>0.08953</cdr:y>
    </cdr:to>
    <cdr:sp macro="" textlink="">
      <cdr:nvSpPr>
        <cdr:cNvPr id="2" name="TextBox 1"/>
        <cdr:cNvSpPr txBox="1"/>
      </cdr:nvSpPr>
      <cdr:spPr>
        <a:xfrm xmlns:a="http://schemas.openxmlformats.org/drawingml/2006/main">
          <a:off x="74986" y="265044"/>
          <a:ext cx="481324" cy="2807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ZA" sz="1100" b="1">
              <a:latin typeface="Arial Narrow" panose="020B0606020202030204" pitchFamily="34" charset="0"/>
            </a:rPr>
            <a:t>Ton</a:t>
          </a:r>
        </a:p>
      </cdr:txBody>
    </cdr:sp>
  </cdr:relSizeAnchor>
  <cdr:relSizeAnchor xmlns:cdr="http://schemas.openxmlformats.org/drawingml/2006/chartDrawing">
    <cdr:from>
      <cdr:x>0.63783</cdr:x>
      <cdr:y>0.3519</cdr:y>
    </cdr:from>
    <cdr:to>
      <cdr:x>0.93042</cdr:x>
      <cdr:y>0.70517</cdr:y>
    </cdr:to>
    <cdr:cxnSp macro="">
      <cdr:nvCxnSpPr>
        <cdr:cNvPr id="4" name="Straight Connector 3"/>
        <cdr:cNvCxnSpPr/>
      </cdr:nvCxnSpPr>
      <cdr:spPr>
        <a:xfrm xmlns:a="http://schemas.openxmlformats.org/drawingml/2006/main" flipV="1">
          <a:off x="5922086" y="2145196"/>
          <a:ext cx="2716675" cy="2153493"/>
        </a:xfrm>
        <a:prstGeom xmlns:a="http://schemas.openxmlformats.org/drawingml/2006/main" prst="line">
          <a:avLst/>
        </a:prstGeom>
        <a:ln xmlns:a="http://schemas.openxmlformats.org/drawingml/2006/main" w="19050">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0.63872</cdr:x>
      <cdr:y>0.16168</cdr:y>
    </cdr:from>
    <cdr:to>
      <cdr:x>0.93131</cdr:x>
      <cdr:y>0.7337</cdr:y>
    </cdr:to>
    <cdr:cxnSp macro="">
      <cdr:nvCxnSpPr>
        <cdr:cNvPr id="6" name="Straight Connector 5"/>
        <cdr:cNvCxnSpPr/>
      </cdr:nvCxnSpPr>
      <cdr:spPr>
        <a:xfrm xmlns:a="http://schemas.openxmlformats.org/drawingml/2006/main" flipV="1">
          <a:off x="5930348" y="985630"/>
          <a:ext cx="2716695" cy="3486979"/>
        </a:xfrm>
        <a:prstGeom xmlns:a="http://schemas.openxmlformats.org/drawingml/2006/main" prst="line">
          <a:avLst/>
        </a:prstGeom>
        <a:ln xmlns:a="http://schemas.openxmlformats.org/drawingml/2006/main" w="19050">
          <a:prstDash val="sysDot"/>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0.63514</cdr:x>
      <cdr:y>0.63587</cdr:y>
    </cdr:from>
    <cdr:to>
      <cdr:x>0.92596</cdr:x>
      <cdr:y>0.83831</cdr:y>
    </cdr:to>
    <cdr:cxnSp macro="">
      <cdr:nvCxnSpPr>
        <cdr:cNvPr id="8" name="Straight Connector 7"/>
        <cdr:cNvCxnSpPr/>
      </cdr:nvCxnSpPr>
      <cdr:spPr>
        <a:xfrm xmlns:a="http://schemas.openxmlformats.org/drawingml/2006/main" flipV="1">
          <a:off x="5897180" y="3876261"/>
          <a:ext cx="2700168" cy="1234098"/>
        </a:xfrm>
        <a:prstGeom xmlns:a="http://schemas.openxmlformats.org/drawingml/2006/main" prst="line">
          <a:avLst/>
        </a:prstGeom>
        <a:ln xmlns:a="http://schemas.openxmlformats.org/drawingml/2006/main" w="19050">
          <a:prstDash val="sysDot"/>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dr:relSizeAnchor xmlns:cdr="http://schemas.openxmlformats.org/drawingml/2006/chartDrawing">
    <cdr:from>
      <cdr:x>0.63248</cdr:x>
      <cdr:y>0.88995</cdr:y>
    </cdr:from>
    <cdr:to>
      <cdr:x>0.93132</cdr:x>
      <cdr:y>0.89267</cdr:y>
    </cdr:to>
    <cdr:cxnSp macro="">
      <cdr:nvCxnSpPr>
        <cdr:cNvPr id="10" name="Straight Connector 9"/>
        <cdr:cNvCxnSpPr/>
      </cdr:nvCxnSpPr>
      <cdr:spPr>
        <a:xfrm xmlns:a="http://schemas.openxmlformats.org/drawingml/2006/main">
          <a:off x="5872409" y="5425119"/>
          <a:ext cx="2774671" cy="16581"/>
        </a:xfrm>
        <a:prstGeom xmlns:a="http://schemas.openxmlformats.org/drawingml/2006/main" prst="line">
          <a:avLst/>
        </a:prstGeom>
        <a:ln xmlns:a="http://schemas.openxmlformats.org/drawingml/2006/main" w="19050">
          <a:prstDash val="sysDot"/>
        </a:ln>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tabSelected="1" zoomScale="85" zoomScaleNormal="85" workbookViewId="0">
      <pane xSplit="2" ySplit="3" topLeftCell="C58" activePane="bottomRight" state="frozen"/>
      <selection pane="topRight" activeCell="C1" sqref="C1"/>
      <selection pane="bottomLeft" activeCell="A4" sqref="A4"/>
      <selection pane="bottomRight" activeCell="A75" sqref="A75"/>
    </sheetView>
  </sheetViews>
  <sheetFormatPr defaultColWidth="9.140625" defaultRowHeight="16.5" x14ac:dyDescent="0.3"/>
  <cols>
    <col min="1" max="1" width="11.85546875" style="58" customWidth="1"/>
    <col min="2" max="2" width="9.140625" style="56" hidden="1" customWidth="1"/>
    <col min="3" max="3" width="2.140625" style="53" customWidth="1"/>
    <col min="4" max="4" width="12.42578125" style="56" customWidth="1"/>
    <col min="5" max="5" width="8.42578125" style="56" hidden="1" customWidth="1"/>
    <col min="6" max="6" width="2.140625" style="57" customWidth="1"/>
    <col min="7" max="7" width="13.28515625" style="56" customWidth="1"/>
    <col min="8" max="8" width="15.5703125" style="56" customWidth="1"/>
    <col min="9" max="9" width="8.140625" style="63" bestFit="1" customWidth="1"/>
    <col min="10" max="11" width="13.42578125" style="57" customWidth="1"/>
    <col min="12" max="12" width="13.42578125" style="56" customWidth="1"/>
    <col min="13" max="13" width="13.28515625" style="62" bestFit="1" customWidth="1"/>
    <col min="14" max="14" width="12.42578125" style="63" customWidth="1"/>
    <col min="15" max="15" width="9.140625" style="63" customWidth="1"/>
    <col min="16" max="16" width="13.42578125" style="62" bestFit="1" customWidth="1"/>
    <col min="17" max="32" width="13.5703125" style="63" customWidth="1"/>
    <col min="33" max="33" width="22.5703125" style="51" customWidth="1"/>
    <col min="34" max="43" width="12.28515625" style="51" customWidth="1"/>
    <col min="44" max="44" width="10.85546875" style="51" bestFit="1" customWidth="1"/>
    <col min="45" max="45" width="12.42578125" style="52" customWidth="1"/>
    <col min="46" max="16384" width="9.140625" style="51"/>
  </cols>
  <sheetData>
    <row r="1" spans="1:45" ht="27.75" customHeight="1" thickBot="1" x14ac:dyDescent="0.35">
      <c r="A1" s="307" t="s">
        <v>136</v>
      </c>
      <c r="B1" s="307"/>
      <c r="C1" s="307"/>
      <c r="D1" s="307"/>
      <c r="E1" s="307"/>
      <c r="F1" s="307"/>
      <c r="G1" s="307"/>
      <c r="H1" s="307"/>
      <c r="I1" s="307"/>
      <c r="J1" s="307"/>
      <c r="K1" s="307"/>
      <c r="L1" s="307"/>
      <c r="M1" s="307"/>
      <c r="N1" s="307"/>
      <c r="O1" s="307"/>
      <c r="P1" s="307"/>
      <c r="Q1" s="307"/>
      <c r="R1" s="101"/>
      <c r="S1" s="255"/>
      <c r="T1" s="255"/>
      <c r="U1" s="255"/>
      <c r="V1" s="255"/>
      <c r="W1" s="255"/>
      <c r="X1" s="255"/>
      <c r="Y1" s="255"/>
      <c r="Z1" s="255"/>
      <c r="AA1" s="255"/>
      <c r="AB1" s="255"/>
      <c r="AC1" s="255"/>
      <c r="AD1" s="255"/>
      <c r="AE1" s="159"/>
      <c r="AF1" s="255"/>
    </row>
    <row r="2" spans="1:45" ht="49.5" x14ac:dyDescent="0.3">
      <c r="A2" s="311" t="s">
        <v>165</v>
      </c>
      <c r="B2" s="106"/>
      <c r="C2" s="209" t="s">
        <v>138</v>
      </c>
      <c r="D2" s="207" t="s">
        <v>1</v>
      </c>
      <c r="E2" s="107"/>
      <c r="F2" s="208" t="s">
        <v>139</v>
      </c>
      <c r="G2" s="207" t="s">
        <v>2</v>
      </c>
      <c r="H2" s="181" t="s">
        <v>143</v>
      </c>
      <c r="I2" s="187" t="s">
        <v>131</v>
      </c>
      <c r="J2" s="198" t="s">
        <v>1</v>
      </c>
      <c r="K2" s="108" t="s">
        <v>2</v>
      </c>
      <c r="L2" s="109" t="s">
        <v>143</v>
      </c>
      <c r="M2" s="195" t="s">
        <v>135</v>
      </c>
      <c r="N2" s="108" t="s">
        <v>133</v>
      </c>
      <c r="O2" s="108" t="s">
        <v>133</v>
      </c>
      <c r="P2" s="108" t="s">
        <v>154</v>
      </c>
      <c r="Q2" s="167" t="s">
        <v>134</v>
      </c>
      <c r="R2" s="109" t="s">
        <v>159</v>
      </c>
      <c r="S2" s="60"/>
      <c r="T2" s="60"/>
      <c r="U2" s="60"/>
      <c r="V2" s="60"/>
      <c r="W2" s="60"/>
      <c r="X2" s="60"/>
      <c r="Y2" s="60"/>
      <c r="Z2" s="60"/>
      <c r="AA2" s="60"/>
      <c r="AB2" s="60"/>
      <c r="AC2" s="60"/>
      <c r="AD2" s="60"/>
      <c r="AE2" s="60"/>
      <c r="AF2" s="60"/>
    </row>
    <row r="3" spans="1:45" ht="17.25" thickBot="1" x14ac:dyDescent="0.35">
      <c r="A3" s="312"/>
      <c r="B3" s="110">
        <v>0.453592</v>
      </c>
      <c r="C3" s="210"/>
      <c r="D3" s="179" t="s">
        <v>162</v>
      </c>
      <c r="E3" s="180"/>
      <c r="F3" s="180"/>
      <c r="G3" s="179" t="s">
        <v>162</v>
      </c>
      <c r="H3" s="182" t="s">
        <v>162</v>
      </c>
      <c r="I3" s="188" t="s">
        <v>132</v>
      </c>
      <c r="J3" s="199" t="s">
        <v>90</v>
      </c>
      <c r="K3" s="176" t="s">
        <v>90</v>
      </c>
      <c r="L3" s="200" t="s">
        <v>90</v>
      </c>
      <c r="M3" s="196"/>
      <c r="N3" s="111" t="s">
        <v>108</v>
      </c>
      <c r="O3" s="111" t="s">
        <v>106</v>
      </c>
      <c r="P3" s="111" t="s">
        <v>90</v>
      </c>
      <c r="Q3" s="168" t="s">
        <v>107</v>
      </c>
      <c r="R3" s="112" t="s">
        <v>158</v>
      </c>
      <c r="S3" s="61"/>
      <c r="T3" s="61"/>
      <c r="U3" s="61"/>
      <c r="V3" s="61"/>
      <c r="W3" s="61"/>
      <c r="X3" s="61"/>
      <c r="Y3" s="61"/>
      <c r="Z3" s="61"/>
      <c r="AA3" s="61"/>
      <c r="AB3" s="61"/>
      <c r="AC3" s="61"/>
      <c r="AD3" s="61"/>
      <c r="AE3" s="61"/>
      <c r="AF3" s="61"/>
    </row>
    <row r="4" spans="1:45" x14ac:dyDescent="0.3">
      <c r="A4" s="113" t="s">
        <v>5</v>
      </c>
      <c r="B4" s="115">
        <v>594614</v>
      </c>
      <c r="C4" s="211"/>
      <c r="D4" s="116">
        <f>B4*$B$3*1000/0.9</f>
        <v>299680170.5422222</v>
      </c>
      <c r="E4" s="114">
        <v>103987</v>
      </c>
      <c r="F4" s="117"/>
      <c r="G4" s="116">
        <f>E4*$B$3*1000/0.9</f>
        <v>52408523.671111107</v>
      </c>
      <c r="H4" s="183">
        <f>D4+G4</f>
        <v>352088694.21333331</v>
      </c>
      <c r="I4" s="189">
        <v>900</v>
      </c>
      <c r="J4" s="201">
        <f>D4*0.9</f>
        <v>269712153.48799998</v>
      </c>
      <c r="K4" s="177">
        <f>G4*0.9</f>
        <v>47167671.303999998</v>
      </c>
      <c r="L4" s="183">
        <f t="shared" ref="L4:L40" si="0">H4*0.9</f>
        <v>316879824.792</v>
      </c>
      <c r="M4" s="116">
        <v>12212000</v>
      </c>
      <c r="N4" s="118">
        <f t="shared" ref="N4:N41" si="1">H4/M4</f>
        <v>28.831370308985694</v>
      </c>
      <c r="O4" s="118">
        <f>L4/M4</f>
        <v>25.948233278087127</v>
      </c>
      <c r="P4" s="114">
        <v>693400000</v>
      </c>
      <c r="Q4" s="169">
        <f>L4/P4*100</f>
        <v>45.699426707816556</v>
      </c>
      <c r="R4" s="174">
        <f>P4/M4</f>
        <v>56.780216180805766</v>
      </c>
      <c r="S4" s="55"/>
      <c r="T4" s="55"/>
      <c r="U4" s="55"/>
      <c r="V4" s="55"/>
      <c r="W4" s="55"/>
      <c r="X4" s="55"/>
      <c r="Y4" s="55"/>
      <c r="Z4" s="55"/>
      <c r="AA4" s="55"/>
      <c r="AB4" s="55"/>
      <c r="AC4" s="55"/>
      <c r="AD4" s="55"/>
      <c r="AE4" s="55"/>
      <c r="AF4" s="55"/>
    </row>
    <row r="5" spans="1:45" x14ac:dyDescent="0.3">
      <c r="A5" s="119" t="s">
        <v>6</v>
      </c>
      <c r="B5" s="65">
        <v>569811</v>
      </c>
      <c r="C5" s="150"/>
      <c r="D5" s="66">
        <f t="shared" ref="D5:D23" si="2">B5*$B$3*1000/0.9</f>
        <v>287179679.01333332</v>
      </c>
      <c r="E5" s="64">
        <v>150512</v>
      </c>
      <c r="F5" s="67"/>
      <c r="G5" s="66">
        <f>E5*$B$3*1000/0.9</f>
        <v>75856710.115555555</v>
      </c>
      <c r="H5" s="184">
        <f t="shared" ref="H5:H42" si="3">D5+G5</f>
        <v>363036389.12888885</v>
      </c>
      <c r="I5" s="190">
        <v>900</v>
      </c>
      <c r="J5" s="202">
        <f t="shared" ref="J5:J40" si="4">D5*0.9</f>
        <v>258461711.11199999</v>
      </c>
      <c r="K5" s="178">
        <f t="shared" ref="K5:K40" si="5">G5*0.9</f>
        <v>68271039.104000002</v>
      </c>
      <c r="L5" s="184">
        <f t="shared" si="0"/>
        <v>326732750.21599996</v>
      </c>
      <c r="M5" s="66">
        <v>12458000</v>
      </c>
      <c r="N5" s="68">
        <f t="shared" si="1"/>
        <v>29.140824299958968</v>
      </c>
      <c r="O5" s="68">
        <f>L5/M5</f>
        <v>26.226741869963075</v>
      </c>
      <c r="P5" s="64">
        <v>705400000</v>
      </c>
      <c r="Q5" s="170">
        <f t="shared" ref="Q5:Q38" si="6">L5/P5*100</f>
        <v>46.318790787638214</v>
      </c>
      <c r="R5" s="166">
        <f t="shared" ref="R5:R68" si="7">P5/M5</f>
        <v>56.62225076256221</v>
      </c>
      <c r="S5" s="55"/>
      <c r="T5" s="55"/>
      <c r="U5" s="55"/>
      <c r="V5" s="55"/>
      <c r="W5" s="55"/>
      <c r="X5" s="55"/>
      <c r="Y5" s="55"/>
      <c r="Z5" s="55"/>
      <c r="AA5" s="55"/>
      <c r="AB5" s="55"/>
      <c r="AC5" s="55"/>
      <c r="AD5" s="55"/>
      <c r="AE5" s="55"/>
      <c r="AF5" s="55"/>
    </row>
    <row r="6" spans="1:45" x14ac:dyDescent="0.3">
      <c r="A6" s="119" t="s">
        <v>7</v>
      </c>
      <c r="B6" s="65">
        <v>574175</v>
      </c>
      <c r="C6" s="150"/>
      <c r="D6" s="66">
        <f t="shared" si="2"/>
        <v>289379096.22222221</v>
      </c>
      <c r="E6" s="64">
        <v>203362</v>
      </c>
      <c r="F6" s="67"/>
      <c r="G6" s="66">
        <f t="shared" ref="G6:G23" si="8">E6*$B$3*1000/0.9</f>
        <v>102492640.33777778</v>
      </c>
      <c r="H6" s="184">
        <f t="shared" si="3"/>
        <v>391871736.56</v>
      </c>
      <c r="I6" s="190">
        <v>900</v>
      </c>
      <c r="J6" s="202">
        <f t="shared" si="4"/>
        <v>260441186.59999999</v>
      </c>
      <c r="K6" s="178">
        <f t="shared" si="5"/>
        <v>92243376.304000005</v>
      </c>
      <c r="L6" s="184">
        <f t="shared" si="0"/>
        <v>352684562.90399998</v>
      </c>
      <c r="M6" s="66">
        <v>12716000</v>
      </c>
      <c r="N6" s="68">
        <f t="shared" si="1"/>
        <v>30.817217407989933</v>
      </c>
      <c r="O6" s="68">
        <f t="shared" ref="O6:O41" si="9">L6/M6</f>
        <v>27.735495667190939</v>
      </c>
      <c r="P6" s="64">
        <v>784900000</v>
      </c>
      <c r="Q6" s="170">
        <f t="shared" si="6"/>
        <v>44.933693834118991</v>
      </c>
      <c r="R6" s="166">
        <f t="shared" si="7"/>
        <v>61.725385341302299</v>
      </c>
      <c r="S6" s="55"/>
      <c r="T6" s="55"/>
      <c r="U6" s="55"/>
      <c r="V6" s="55"/>
      <c r="W6" s="55"/>
      <c r="X6" s="55"/>
      <c r="Y6" s="55"/>
      <c r="Z6" s="55"/>
      <c r="AA6" s="55"/>
      <c r="AB6" s="55"/>
      <c r="AC6" s="55"/>
      <c r="AD6" s="55"/>
      <c r="AE6" s="55"/>
      <c r="AF6" s="55"/>
    </row>
    <row r="7" spans="1:45" x14ac:dyDescent="0.3">
      <c r="A7" s="119" t="s">
        <v>8</v>
      </c>
      <c r="B7" s="65">
        <v>699588</v>
      </c>
      <c r="C7" s="150"/>
      <c r="D7" s="66">
        <f t="shared" si="2"/>
        <v>352586133.44</v>
      </c>
      <c r="E7" s="64">
        <f>170155+12176</f>
        <v>182331</v>
      </c>
      <c r="F7" s="69" t="s">
        <v>85</v>
      </c>
      <c r="G7" s="66">
        <f t="shared" si="8"/>
        <v>91893203.280000001</v>
      </c>
      <c r="H7" s="184">
        <f t="shared" si="3"/>
        <v>444479336.72000003</v>
      </c>
      <c r="I7" s="190">
        <v>900</v>
      </c>
      <c r="J7" s="202">
        <f t="shared" si="4"/>
        <v>317327520.09600002</v>
      </c>
      <c r="K7" s="178">
        <f t="shared" si="5"/>
        <v>82703882.952000007</v>
      </c>
      <c r="L7" s="184">
        <f t="shared" si="0"/>
        <v>400031403.04800004</v>
      </c>
      <c r="M7" s="66">
        <v>13040000</v>
      </c>
      <c r="N7" s="68">
        <f t="shared" si="1"/>
        <v>34.085838705521475</v>
      </c>
      <c r="O7" s="68">
        <f t="shared" si="9"/>
        <v>30.677254834969329</v>
      </c>
      <c r="P7" s="64">
        <v>807900000</v>
      </c>
      <c r="Q7" s="170">
        <f t="shared" si="6"/>
        <v>49.514965100631272</v>
      </c>
      <c r="R7" s="166">
        <f t="shared" si="7"/>
        <v>61.95552147239264</v>
      </c>
      <c r="S7" s="55"/>
      <c r="T7" s="55"/>
      <c r="U7" s="55"/>
      <c r="V7" s="55"/>
      <c r="W7" s="55"/>
      <c r="X7" s="55"/>
      <c r="Y7" s="55"/>
      <c r="Z7" s="55"/>
      <c r="AA7" s="55"/>
      <c r="AB7" s="55"/>
      <c r="AC7" s="55"/>
      <c r="AD7" s="55"/>
      <c r="AE7" s="55"/>
      <c r="AF7" s="55"/>
    </row>
    <row r="8" spans="1:45" x14ac:dyDescent="0.3">
      <c r="A8" s="119" t="s">
        <v>9</v>
      </c>
      <c r="B8" s="65">
        <v>677084</v>
      </c>
      <c r="C8" s="150"/>
      <c r="D8" s="66">
        <f t="shared" si="2"/>
        <v>341244317.4755556</v>
      </c>
      <c r="E8" s="64">
        <f>82845+118100</f>
        <v>200945</v>
      </c>
      <c r="F8" s="67"/>
      <c r="G8" s="66">
        <f t="shared" si="8"/>
        <v>101274493.82222222</v>
      </c>
      <c r="H8" s="184">
        <f t="shared" si="3"/>
        <v>442518811.29777783</v>
      </c>
      <c r="I8" s="190">
        <v>900</v>
      </c>
      <c r="J8" s="202">
        <f t="shared" si="4"/>
        <v>307119885.72800004</v>
      </c>
      <c r="K8" s="178">
        <f t="shared" si="5"/>
        <v>91147044.439999998</v>
      </c>
      <c r="L8" s="184">
        <f t="shared" si="0"/>
        <v>398266930.16800004</v>
      </c>
      <c r="M8" s="66">
        <v>13376000</v>
      </c>
      <c r="N8" s="68">
        <f t="shared" si="1"/>
        <v>33.083045103003727</v>
      </c>
      <c r="O8" s="68">
        <f t="shared" si="9"/>
        <v>29.774740592703353</v>
      </c>
      <c r="P8" s="64">
        <v>827600000</v>
      </c>
      <c r="Q8" s="170">
        <f t="shared" si="6"/>
        <v>48.123118676655395</v>
      </c>
      <c r="R8" s="166">
        <f t="shared" si="7"/>
        <v>61.872009569377994</v>
      </c>
      <c r="S8" s="55"/>
      <c r="T8" s="55"/>
      <c r="U8" s="55"/>
      <c r="V8" s="55"/>
      <c r="W8" s="55"/>
      <c r="X8" s="55"/>
      <c r="Y8" s="55"/>
      <c r="Z8" s="55"/>
      <c r="AA8" s="55"/>
      <c r="AB8" s="55"/>
      <c r="AC8" s="55"/>
      <c r="AD8" s="55"/>
      <c r="AE8" s="55"/>
      <c r="AF8" s="55"/>
    </row>
    <row r="9" spans="1:45" ht="17.25" thickBot="1" x14ac:dyDescent="0.35">
      <c r="A9" s="119" t="s">
        <v>10</v>
      </c>
      <c r="B9" s="65">
        <v>599782</v>
      </c>
      <c r="C9" s="150"/>
      <c r="D9" s="66">
        <f t="shared" si="2"/>
        <v>302284796.60444444</v>
      </c>
      <c r="E9" s="64">
        <f>55886+225235</f>
        <v>281121</v>
      </c>
      <c r="F9" s="67"/>
      <c r="G9" s="66">
        <f t="shared" si="8"/>
        <v>141682485.14666668</v>
      </c>
      <c r="H9" s="184">
        <f t="shared" si="3"/>
        <v>443967281.75111115</v>
      </c>
      <c r="I9" s="190">
        <v>900</v>
      </c>
      <c r="J9" s="202">
        <f t="shared" si="4"/>
        <v>272056316.94400001</v>
      </c>
      <c r="K9" s="178">
        <f t="shared" si="5"/>
        <v>127514236.63200001</v>
      </c>
      <c r="L9" s="184">
        <f t="shared" si="0"/>
        <v>399570553.57600003</v>
      </c>
      <c r="M9" s="66">
        <v>13717000</v>
      </c>
      <c r="N9" s="68">
        <f t="shared" si="1"/>
        <v>32.366208482256411</v>
      </c>
      <c r="O9" s="68">
        <f t="shared" si="9"/>
        <v>29.129587634030766</v>
      </c>
      <c r="P9" s="64">
        <v>800000000</v>
      </c>
      <c r="Q9" s="170">
        <f t="shared" si="6"/>
        <v>49.946319197000008</v>
      </c>
      <c r="R9" s="166">
        <f t="shared" si="7"/>
        <v>58.321790478967706</v>
      </c>
      <c r="S9" s="55"/>
      <c r="T9" s="55"/>
      <c r="U9" s="55"/>
      <c r="V9" s="55"/>
      <c r="W9" s="55"/>
      <c r="X9" s="55"/>
      <c r="Y9" s="55"/>
      <c r="Z9" s="55"/>
      <c r="AA9" s="55"/>
      <c r="AB9" s="55"/>
      <c r="AC9" s="55"/>
      <c r="AD9" s="55"/>
      <c r="AE9" s="55"/>
      <c r="AF9" s="55"/>
    </row>
    <row r="10" spans="1:45" x14ac:dyDescent="0.3">
      <c r="A10" s="119" t="s">
        <v>11</v>
      </c>
      <c r="B10" s="65">
        <v>593040</v>
      </c>
      <c r="C10" s="150"/>
      <c r="D10" s="66">
        <f t="shared" si="2"/>
        <v>298886888.53333336</v>
      </c>
      <c r="E10" s="64">
        <f>62825+279271</f>
        <v>342096</v>
      </c>
      <c r="F10" s="67"/>
      <c r="G10" s="66">
        <f t="shared" si="8"/>
        <v>172413343.14666665</v>
      </c>
      <c r="H10" s="184">
        <f t="shared" si="3"/>
        <v>471300231.68000001</v>
      </c>
      <c r="I10" s="190">
        <v>900</v>
      </c>
      <c r="J10" s="202">
        <f t="shared" si="4"/>
        <v>268998199.68000001</v>
      </c>
      <c r="K10" s="178">
        <f t="shared" si="5"/>
        <v>155172008.83199999</v>
      </c>
      <c r="L10" s="184">
        <f t="shared" si="0"/>
        <v>424170208.51200002</v>
      </c>
      <c r="M10" s="66">
        <v>14067000</v>
      </c>
      <c r="N10" s="68">
        <f t="shared" si="1"/>
        <v>33.503961873889246</v>
      </c>
      <c r="O10" s="68">
        <f t="shared" si="9"/>
        <v>30.153565686500322</v>
      </c>
      <c r="P10" s="64">
        <v>837000000</v>
      </c>
      <c r="Q10" s="170">
        <f t="shared" si="6"/>
        <v>50.677444266666669</v>
      </c>
      <c r="R10" s="166">
        <f t="shared" si="7"/>
        <v>59.50095969289827</v>
      </c>
      <c r="S10" s="55"/>
      <c r="T10" s="55"/>
      <c r="U10" s="55"/>
      <c r="V10" s="55"/>
      <c r="W10" s="55"/>
      <c r="X10" s="55"/>
      <c r="Y10" s="55"/>
      <c r="Z10" s="55"/>
      <c r="AA10" s="55"/>
      <c r="AB10" s="55"/>
      <c r="AC10" s="55"/>
      <c r="AD10" s="55"/>
      <c r="AE10" s="55"/>
      <c r="AF10" s="55"/>
      <c r="AG10" s="73"/>
      <c r="AH10" s="310" t="s">
        <v>103</v>
      </c>
      <c r="AI10" s="304"/>
      <c r="AJ10" s="309" t="s">
        <v>104</v>
      </c>
      <c r="AK10" s="304"/>
      <c r="AL10" s="306" t="s">
        <v>164</v>
      </c>
      <c r="AM10" s="304"/>
      <c r="AN10" s="305" t="s">
        <v>166</v>
      </c>
      <c r="AO10" s="304"/>
      <c r="AP10" s="303" t="s">
        <v>170</v>
      </c>
      <c r="AQ10" s="304"/>
      <c r="AS10" s="263" t="s">
        <v>150</v>
      </c>
    </row>
    <row r="11" spans="1:45" ht="17.25" thickBot="1" x14ac:dyDescent="0.35">
      <c r="A11" s="119" t="s">
        <v>12</v>
      </c>
      <c r="B11" s="65">
        <v>607541</v>
      </c>
      <c r="C11" s="150"/>
      <c r="D11" s="66">
        <f t="shared" si="2"/>
        <v>306195263.63555557</v>
      </c>
      <c r="E11" s="64">
        <f>59909+299429</f>
        <v>359338</v>
      </c>
      <c r="F11" s="67"/>
      <c r="G11" s="66">
        <f t="shared" si="8"/>
        <v>181103157.88444445</v>
      </c>
      <c r="H11" s="184">
        <f t="shared" si="3"/>
        <v>487298421.51999998</v>
      </c>
      <c r="I11" s="190">
        <v>900</v>
      </c>
      <c r="J11" s="202">
        <f t="shared" si="4"/>
        <v>275575737.27200001</v>
      </c>
      <c r="K11" s="178">
        <f t="shared" si="5"/>
        <v>162992842.09600002</v>
      </c>
      <c r="L11" s="184">
        <f t="shared" si="0"/>
        <v>438568579.36799997</v>
      </c>
      <c r="M11" s="66">
        <v>14421000</v>
      </c>
      <c r="N11" s="68">
        <f t="shared" si="1"/>
        <v>33.790889780181679</v>
      </c>
      <c r="O11" s="68">
        <f t="shared" si="9"/>
        <v>30.411800802163508</v>
      </c>
      <c r="P11" s="64">
        <v>886800000</v>
      </c>
      <c r="Q11" s="170">
        <f t="shared" si="6"/>
        <v>49.455184863328824</v>
      </c>
      <c r="R11" s="166">
        <f t="shared" si="7"/>
        <v>61.493655086332431</v>
      </c>
      <c r="S11" s="55"/>
      <c r="T11" s="55"/>
      <c r="U11" s="55"/>
      <c r="V11" s="55"/>
      <c r="W11" s="55"/>
      <c r="X11" s="55"/>
      <c r="Y11" s="55"/>
      <c r="Z11" s="55"/>
      <c r="AA11" s="55"/>
      <c r="AB11" s="55"/>
      <c r="AC11" s="55"/>
      <c r="AD11" s="55"/>
      <c r="AE11" s="55"/>
      <c r="AF11" s="55"/>
      <c r="AG11" s="76" t="s">
        <v>91</v>
      </c>
      <c r="AH11" s="82" t="s">
        <v>105</v>
      </c>
      <c r="AI11" s="84" t="s">
        <v>90</v>
      </c>
      <c r="AJ11" s="76" t="s">
        <v>105</v>
      </c>
      <c r="AK11" s="83" t="s">
        <v>90</v>
      </c>
      <c r="AL11" s="76" t="s">
        <v>105</v>
      </c>
      <c r="AM11" s="83" t="s">
        <v>90</v>
      </c>
      <c r="AN11" s="76" t="s">
        <v>105</v>
      </c>
      <c r="AO11" s="83" t="s">
        <v>90</v>
      </c>
      <c r="AP11" s="76" t="s">
        <v>105</v>
      </c>
      <c r="AQ11" s="83" t="s">
        <v>90</v>
      </c>
    </row>
    <row r="12" spans="1:45" x14ac:dyDescent="0.3">
      <c r="A12" s="119" t="s">
        <v>13</v>
      </c>
      <c r="B12" s="65">
        <v>619762</v>
      </c>
      <c r="C12" s="150"/>
      <c r="D12" s="66">
        <f t="shared" si="2"/>
        <v>312354539.00444442</v>
      </c>
      <c r="E12" s="64">
        <f>73104+295439</f>
        <v>368543</v>
      </c>
      <c r="F12" s="67"/>
      <c r="G12" s="66">
        <f t="shared" si="8"/>
        <v>185742396.06222221</v>
      </c>
      <c r="H12" s="184">
        <f t="shared" si="3"/>
        <v>498096935.0666666</v>
      </c>
      <c r="I12" s="190">
        <v>900</v>
      </c>
      <c r="J12" s="202">
        <f t="shared" si="4"/>
        <v>281119085.10399997</v>
      </c>
      <c r="K12" s="178">
        <f t="shared" si="5"/>
        <v>167168156.456</v>
      </c>
      <c r="L12" s="184">
        <f t="shared" si="0"/>
        <v>448287241.55999994</v>
      </c>
      <c r="M12" s="66">
        <v>14786000</v>
      </c>
      <c r="N12" s="68">
        <f t="shared" si="1"/>
        <v>33.68706445736958</v>
      </c>
      <c r="O12" s="68">
        <f t="shared" si="9"/>
        <v>30.318358011632622</v>
      </c>
      <c r="P12" s="64">
        <v>867500000</v>
      </c>
      <c r="Q12" s="170">
        <f t="shared" si="6"/>
        <v>51.675762715850141</v>
      </c>
      <c r="R12" s="166">
        <f t="shared" si="7"/>
        <v>58.670363857703229</v>
      </c>
      <c r="S12" s="55"/>
      <c r="T12" s="55"/>
      <c r="U12" s="55"/>
      <c r="V12" s="55"/>
      <c r="W12" s="55"/>
      <c r="X12" s="55"/>
      <c r="Y12" s="55"/>
      <c r="Z12" s="55"/>
      <c r="AA12" s="55"/>
      <c r="AB12" s="55"/>
      <c r="AC12" s="55"/>
      <c r="AD12" s="55"/>
      <c r="AE12" s="55"/>
      <c r="AF12" s="55"/>
      <c r="AG12" s="78" t="s">
        <v>92</v>
      </c>
      <c r="AH12" s="79">
        <v>2536957</v>
      </c>
      <c r="AI12" s="85">
        <f>AH12*0.4</f>
        <v>1014782.8</v>
      </c>
      <c r="AJ12" s="80">
        <v>2772734</v>
      </c>
      <c r="AK12" s="88">
        <f>AJ12*0.4</f>
        <v>1109093.6000000001</v>
      </c>
      <c r="AL12" s="80">
        <v>1828673</v>
      </c>
      <c r="AM12" s="88">
        <f>AL12*0.4</f>
        <v>731469.20000000007</v>
      </c>
      <c r="AN12" s="80">
        <v>1580130</v>
      </c>
      <c r="AO12" s="88">
        <f>AN12*0.4</f>
        <v>632052</v>
      </c>
      <c r="AP12" s="80">
        <v>367818</v>
      </c>
      <c r="AQ12" s="88">
        <f>AP12*0.4</f>
        <v>147127.20000000001</v>
      </c>
      <c r="AS12" s="52">
        <f>AQ12/1000</f>
        <v>147.12720000000002</v>
      </c>
    </row>
    <row r="13" spans="1:45" x14ac:dyDescent="0.3">
      <c r="A13" s="119" t="s">
        <v>3</v>
      </c>
      <c r="B13" s="65">
        <v>647006</v>
      </c>
      <c r="C13" s="150"/>
      <c r="D13" s="66">
        <f>B13*$B$3*1000/0.9</f>
        <v>326085272.83555555</v>
      </c>
      <c r="E13" s="64">
        <f>63518+315823</f>
        <v>379341</v>
      </c>
      <c r="F13" s="67"/>
      <c r="G13" s="66">
        <f t="shared" si="8"/>
        <v>191184492.07999998</v>
      </c>
      <c r="H13" s="184">
        <f t="shared" si="3"/>
        <v>517269764.91555554</v>
      </c>
      <c r="I13" s="190">
        <v>900</v>
      </c>
      <c r="J13" s="202">
        <f t="shared" si="4"/>
        <v>293476745.55199999</v>
      </c>
      <c r="K13" s="178">
        <f t="shared" si="5"/>
        <v>172066042.87199998</v>
      </c>
      <c r="L13" s="184">
        <f t="shared" si="0"/>
        <v>465542788.42399997</v>
      </c>
      <c r="M13" s="66">
        <v>15160000</v>
      </c>
      <c r="N13" s="68">
        <f t="shared" si="1"/>
        <v>34.120696894165931</v>
      </c>
      <c r="O13" s="68">
        <f t="shared" si="9"/>
        <v>30.708627204749337</v>
      </c>
      <c r="P13" s="64">
        <v>904600000</v>
      </c>
      <c r="Q13" s="170">
        <f t="shared" si="6"/>
        <v>51.463938583241209</v>
      </c>
      <c r="R13" s="166">
        <f t="shared" si="7"/>
        <v>59.670184696569919</v>
      </c>
      <c r="S13" s="55"/>
      <c r="T13" s="55"/>
      <c r="U13" s="55"/>
      <c r="V13" s="55"/>
      <c r="W13" s="55"/>
      <c r="X13" s="55"/>
      <c r="Y13" s="55"/>
      <c r="Z13" s="55"/>
      <c r="AA13" s="55"/>
      <c r="AB13" s="55"/>
      <c r="AC13" s="55"/>
      <c r="AD13" s="55"/>
      <c r="AE13" s="55"/>
      <c r="AF13" s="55"/>
      <c r="AG13" s="74" t="s">
        <v>93</v>
      </c>
      <c r="AH13" s="72">
        <v>184045416</v>
      </c>
      <c r="AI13" s="86">
        <f>AH13*0.6</f>
        <v>110427249.59999999</v>
      </c>
      <c r="AJ13" s="77">
        <v>192408295</v>
      </c>
      <c r="AK13" s="89">
        <f>AJ13*0.6</f>
        <v>115444977</v>
      </c>
      <c r="AL13" s="77">
        <v>249818607</v>
      </c>
      <c r="AM13" s="89">
        <f>AL13*0.6</f>
        <v>149891164.19999999</v>
      </c>
      <c r="AN13" s="77">
        <v>268757988</v>
      </c>
      <c r="AO13" s="89">
        <f>AN13*0.6</f>
        <v>161254792.79999998</v>
      </c>
      <c r="AP13" s="77">
        <v>65830291</v>
      </c>
      <c r="AQ13" s="89">
        <f>AP13*0.6</f>
        <v>39498174.600000001</v>
      </c>
      <c r="AS13" s="52">
        <f t="shared" ref="AS13:AS15" si="10">AQ13/1000</f>
        <v>39498.174599999998</v>
      </c>
    </row>
    <row r="14" spans="1:45" x14ac:dyDescent="0.3">
      <c r="A14" s="119" t="s">
        <v>14</v>
      </c>
      <c r="B14" s="65">
        <v>656299</v>
      </c>
      <c r="C14" s="150"/>
      <c r="D14" s="66">
        <f t="shared" si="2"/>
        <v>330768862.23111105</v>
      </c>
      <c r="E14" s="64">
        <f>149613+246263</f>
        <v>395876</v>
      </c>
      <c r="F14" s="69" t="s">
        <v>79</v>
      </c>
      <c r="G14" s="66">
        <f>E14*$B$3*1000/0.9</f>
        <v>199517985.1022222</v>
      </c>
      <c r="H14" s="184">
        <f t="shared" si="3"/>
        <v>530286847.33333325</v>
      </c>
      <c r="I14" s="190">
        <v>900</v>
      </c>
      <c r="J14" s="202">
        <f t="shared" si="4"/>
        <v>297691976.00799996</v>
      </c>
      <c r="K14" s="178">
        <f t="shared" si="5"/>
        <v>179566186.59199998</v>
      </c>
      <c r="L14" s="184">
        <f t="shared" si="0"/>
        <v>477258162.59999996</v>
      </c>
      <c r="M14" s="66">
        <v>15546000</v>
      </c>
      <c r="N14" s="68">
        <f t="shared" si="1"/>
        <v>34.11082254813671</v>
      </c>
      <c r="O14" s="68">
        <f t="shared" si="9"/>
        <v>30.699740293323039</v>
      </c>
      <c r="P14" s="64">
        <v>930700000</v>
      </c>
      <c r="Q14" s="170">
        <f t="shared" si="6"/>
        <v>51.279484538519391</v>
      </c>
      <c r="R14" s="166">
        <f t="shared" si="7"/>
        <v>59.867490029589604</v>
      </c>
      <c r="S14" s="55"/>
      <c r="T14" s="55"/>
      <c r="U14" s="55"/>
      <c r="V14" s="55"/>
      <c r="W14" s="55"/>
      <c r="X14" s="55"/>
      <c r="Y14" s="55"/>
      <c r="Z14" s="55"/>
      <c r="AA14" s="55"/>
      <c r="AB14" s="55"/>
      <c r="AC14" s="55"/>
      <c r="AD14" s="55"/>
      <c r="AE14" s="55"/>
      <c r="AF14" s="55"/>
      <c r="AG14" s="74" t="s">
        <v>94</v>
      </c>
      <c r="AH14" s="72">
        <v>830681443</v>
      </c>
      <c r="AI14" s="86">
        <f>AH14*0.7</f>
        <v>581477010.0999999</v>
      </c>
      <c r="AJ14" s="77">
        <v>839930529</v>
      </c>
      <c r="AK14" s="89">
        <f>AJ14*0.7</f>
        <v>587951370.29999995</v>
      </c>
      <c r="AL14" s="77">
        <v>854936392</v>
      </c>
      <c r="AM14" s="89">
        <f>AL14*0.7</f>
        <v>598455474.39999998</v>
      </c>
      <c r="AN14" s="77">
        <v>883820063</v>
      </c>
      <c r="AO14" s="89">
        <f>AN14*0.7</f>
        <v>618674044.0999999</v>
      </c>
      <c r="AP14" s="77">
        <v>225520165</v>
      </c>
      <c r="AQ14" s="89">
        <f>AP14*0.7</f>
        <v>157864115.5</v>
      </c>
      <c r="AS14" s="52">
        <f t="shared" si="10"/>
        <v>157864.11550000001</v>
      </c>
    </row>
    <row r="15" spans="1:45" x14ac:dyDescent="0.3">
      <c r="A15" s="119" t="s">
        <v>15</v>
      </c>
      <c r="B15" s="65">
        <v>699620</v>
      </c>
      <c r="C15" s="150"/>
      <c r="D15" s="66">
        <f t="shared" si="2"/>
        <v>352602261.15555549</v>
      </c>
      <c r="E15" s="64">
        <v>419091</v>
      </c>
      <c r="F15" s="67"/>
      <c r="G15" s="66">
        <f t="shared" si="8"/>
        <v>211218138.74666667</v>
      </c>
      <c r="H15" s="184">
        <f t="shared" si="3"/>
        <v>563820399.90222216</v>
      </c>
      <c r="I15" s="190">
        <v>900</v>
      </c>
      <c r="J15" s="202">
        <f t="shared" si="4"/>
        <v>317342035.03999996</v>
      </c>
      <c r="K15" s="178">
        <f t="shared" si="5"/>
        <v>190096324.87200001</v>
      </c>
      <c r="L15" s="184">
        <f t="shared" si="0"/>
        <v>507438359.91199994</v>
      </c>
      <c r="M15" s="66">
        <v>15938000</v>
      </c>
      <c r="N15" s="68">
        <f t="shared" si="1"/>
        <v>35.375856437584524</v>
      </c>
      <c r="O15" s="68">
        <f t="shared" si="9"/>
        <v>31.838270793826073</v>
      </c>
      <c r="P15" s="64">
        <v>909400000</v>
      </c>
      <c r="Q15" s="170">
        <f t="shared" si="6"/>
        <v>55.799247846052339</v>
      </c>
      <c r="R15" s="166">
        <f t="shared" si="7"/>
        <v>57.058602083071904</v>
      </c>
      <c r="S15" s="55"/>
      <c r="T15" s="55"/>
      <c r="U15" s="55"/>
      <c r="V15" s="55"/>
      <c r="W15" s="55"/>
      <c r="X15" s="55"/>
      <c r="Y15" s="55"/>
      <c r="Z15" s="55"/>
      <c r="AA15" s="55"/>
      <c r="AB15" s="55"/>
      <c r="AC15" s="55"/>
      <c r="AD15" s="55"/>
      <c r="AE15" s="55"/>
      <c r="AF15" s="55"/>
      <c r="AG15" s="74" t="s">
        <v>95</v>
      </c>
      <c r="AH15" s="72">
        <v>9294235</v>
      </c>
      <c r="AI15" s="86">
        <f>AH15*0.9</f>
        <v>8364811.5</v>
      </c>
      <c r="AJ15" s="77">
        <v>7153230</v>
      </c>
      <c r="AK15" s="89">
        <f>AJ15*0.9</f>
        <v>6437907</v>
      </c>
      <c r="AL15" s="77">
        <v>9648404</v>
      </c>
      <c r="AM15" s="89">
        <f>AL15*0.9</f>
        <v>8683563.5999999996</v>
      </c>
      <c r="AN15" s="77">
        <v>13142668</v>
      </c>
      <c r="AO15" s="89">
        <f>AN15*0.9</f>
        <v>11828401.200000001</v>
      </c>
      <c r="AP15" s="77">
        <v>3224666</v>
      </c>
      <c r="AQ15" s="89">
        <f>AP15*0.9</f>
        <v>2902199.4</v>
      </c>
      <c r="AS15" s="52">
        <f t="shared" si="10"/>
        <v>2902.1994</v>
      </c>
    </row>
    <row r="16" spans="1:45" x14ac:dyDescent="0.3">
      <c r="A16" s="119" t="s">
        <v>16</v>
      </c>
      <c r="B16" s="65">
        <v>670993</v>
      </c>
      <c r="C16" s="150"/>
      <c r="D16" s="66">
        <f t="shared" si="2"/>
        <v>338174507.61777776</v>
      </c>
      <c r="E16" s="64">
        <v>409806</v>
      </c>
      <c r="F16" s="67"/>
      <c r="G16" s="66">
        <f t="shared" si="8"/>
        <v>206538581.27999997</v>
      </c>
      <c r="H16" s="184">
        <f t="shared" si="3"/>
        <v>544713088.8977778</v>
      </c>
      <c r="I16" s="190">
        <v>900</v>
      </c>
      <c r="J16" s="202">
        <f t="shared" si="4"/>
        <v>304357056.85600001</v>
      </c>
      <c r="K16" s="178">
        <f t="shared" si="5"/>
        <v>185884723.15199998</v>
      </c>
      <c r="L16" s="184">
        <f t="shared" si="0"/>
        <v>490241780.00800002</v>
      </c>
      <c r="M16" s="66">
        <v>16297000</v>
      </c>
      <c r="N16" s="68">
        <f t="shared" si="1"/>
        <v>33.424132594819767</v>
      </c>
      <c r="O16" s="68">
        <f t="shared" si="9"/>
        <v>30.081719335337795</v>
      </c>
      <c r="P16" s="64">
        <v>903300000</v>
      </c>
      <c r="Q16" s="170">
        <f t="shared" si="6"/>
        <v>54.272310418244217</v>
      </c>
      <c r="R16" s="166">
        <f t="shared" si="7"/>
        <v>55.427379272258698</v>
      </c>
      <c r="S16" s="55"/>
      <c r="T16" s="55"/>
      <c r="U16" s="55"/>
      <c r="V16" s="55"/>
      <c r="W16" s="55"/>
      <c r="X16" s="55"/>
      <c r="Y16" s="55"/>
      <c r="Z16" s="55"/>
      <c r="AA16" s="55"/>
      <c r="AB16" s="55"/>
      <c r="AC16" s="55"/>
      <c r="AD16" s="55"/>
      <c r="AE16" s="55"/>
      <c r="AF16" s="55"/>
      <c r="AG16" s="91" t="s">
        <v>96</v>
      </c>
      <c r="AH16" s="92">
        <v>1026558051</v>
      </c>
      <c r="AI16" s="93">
        <f>SUM(AI12:AI15)</f>
        <v>701283853.99999988</v>
      </c>
      <c r="AJ16" s="94">
        <v>1042264788</v>
      </c>
      <c r="AK16" s="95">
        <f t="shared" ref="AK16:AQ16" si="11">SUM(AK12:AK15)</f>
        <v>710943347.89999998</v>
      </c>
      <c r="AL16" s="94">
        <f t="shared" si="11"/>
        <v>1116232076</v>
      </c>
      <c r="AM16" s="95">
        <f t="shared" si="11"/>
        <v>757761671.39999998</v>
      </c>
      <c r="AN16" s="94">
        <f t="shared" si="11"/>
        <v>1167300849</v>
      </c>
      <c r="AO16" s="95">
        <f t="shared" si="11"/>
        <v>792389290.0999999</v>
      </c>
      <c r="AP16" s="94">
        <f t="shared" si="11"/>
        <v>294942940</v>
      </c>
      <c r="AQ16" s="95">
        <f t="shared" si="11"/>
        <v>200411616.70000002</v>
      </c>
      <c r="AS16" s="52">
        <f>SUM(AS12:AS15)</f>
        <v>200411.61670000004</v>
      </c>
    </row>
    <row r="17" spans="1:45" x14ac:dyDescent="0.3">
      <c r="A17" s="119" t="s">
        <v>17</v>
      </c>
      <c r="B17" s="65">
        <v>707470</v>
      </c>
      <c r="C17" s="150"/>
      <c r="D17" s="66">
        <f t="shared" si="2"/>
        <v>356558591.37777776</v>
      </c>
      <c r="E17" s="64">
        <v>410564</v>
      </c>
      <c r="F17" s="67"/>
      <c r="G17" s="66">
        <f>E17*$B$3*1000/0.9</f>
        <v>206920606.5422222</v>
      </c>
      <c r="H17" s="184">
        <f t="shared" si="3"/>
        <v>563479197.91999996</v>
      </c>
      <c r="I17" s="190">
        <v>900</v>
      </c>
      <c r="J17" s="202">
        <f t="shared" si="4"/>
        <v>320902732.24000001</v>
      </c>
      <c r="K17" s="178">
        <f t="shared" si="5"/>
        <v>186228545.88799998</v>
      </c>
      <c r="L17" s="184">
        <f t="shared" si="0"/>
        <v>507131278.12799996</v>
      </c>
      <c r="M17" s="66">
        <v>16664000</v>
      </c>
      <c r="N17" s="68">
        <f t="shared" si="1"/>
        <v>33.814162141142582</v>
      </c>
      <c r="O17" s="68">
        <f t="shared" si="9"/>
        <v>30.432745927028321</v>
      </c>
      <c r="P17" s="64">
        <v>918300000</v>
      </c>
      <c r="Q17" s="170">
        <f t="shared" si="6"/>
        <v>55.225011230316888</v>
      </c>
      <c r="R17" s="166">
        <f t="shared" si="7"/>
        <v>55.106817090734516</v>
      </c>
      <c r="S17" s="55"/>
      <c r="T17" s="55"/>
      <c r="U17" s="55"/>
      <c r="V17" s="55"/>
      <c r="W17" s="55"/>
      <c r="X17" s="55"/>
      <c r="Y17" s="55"/>
      <c r="Z17" s="55"/>
      <c r="AA17" s="55"/>
      <c r="AB17" s="55"/>
      <c r="AC17" s="55"/>
      <c r="AD17" s="55"/>
      <c r="AE17" s="55"/>
      <c r="AF17" s="55"/>
      <c r="AG17" s="74"/>
      <c r="AH17" s="71"/>
      <c r="AI17" s="87"/>
      <c r="AJ17" s="74"/>
      <c r="AK17" s="90"/>
      <c r="AL17" s="74"/>
      <c r="AM17" s="90"/>
      <c r="AN17" s="74"/>
      <c r="AO17" s="90"/>
      <c r="AP17" s="74"/>
      <c r="AQ17" s="90"/>
    </row>
    <row r="18" spans="1:45" x14ac:dyDescent="0.3">
      <c r="A18" s="119" t="s">
        <v>18</v>
      </c>
      <c r="B18" s="65">
        <v>752081</v>
      </c>
      <c r="C18" s="150"/>
      <c r="D18" s="66">
        <f t="shared" si="2"/>
        <v>379042138.83555549</v>
      </c>
      <c r="E18" s="64">
        <v>427106</v>
      </c>
      <c r="F18" s="67"/>
      <c r="G18" s="66">
        <f t="shared" si="8"/>
        <v>215257627.50222221</v>
      </c>
      <c r="H18" s="184">
        <f t="shared" si="3"/>
        <v>594299766.33777773</v>
      </c>
      <c r="I18" s="190">
        <v>900</v>
      </c>
      <c r="J18" s="202">
        <f t="shared" si="4"/>
        <v>341137924.95199996</v>
      </c>
      <c r="K18" s="178">
        <f t="shared" si="5"/>
        <v>193731864.752</v>
      </c>
      <c r="L18" s="184">
        <f t="shared" si="0"/>
        <v>534869789.704</v>
      </c>
      <c r="M18" s="66">
        <v>17057000</v>
      </c>
      <c r="N18" s="68">
        <f t="shared" si="1"/>
        <v>34.841986652856761</v>
      </c>
      <c r="O18" s="68">
        <f t="shared" si="9"/>
        <v>31.357787987571086</v>
      </c>
      <c r="P18" s="64">
        <v>974100000</v>
      </c>
      <c r="Q18" s="170">
        <f t="shared" si="6"/>
        <v>54.909125316086651</v>
      </c>
      <c r="R18" s="166">
        <f t="shared" si="7"/>
        <v>57.108518496804834</v>
      </c>
      <c r="S18" s="55"/>
      <c r="T18" s="55"/>
      <c r="U18" s="55"/>
      <c r="V18" s="55"/>
      <c r="W18" s="55"/>
      <c r="X18" s="55"/>
      <c r="Y18" s="55"/>
      <c r="Z18" s="55"/>
      <c r="AA18" s="55"/>
      <c r="AB18" s="55"/>
      <c r="AC18" s="55"/>
      <c r="AD18" s="55"/>
      <c r="AE18" s="55"/>
      <c r="AF18" s="55"/>
      <c r="AG18" s="74" t="s">
        <v>97</v>
      </c>
      <c r="AH18" s="71"/>
      <c r="AI18" s="87"/>
      <c r="AJ18" s="74"/>
      <c r="AK18" s="90"/>
      <c r="AL18" s="74"/>
      <c r="AM18" s="90"/>
      <c r="AN18" s="74"/>
      <c r="AO18" s="90"/>
      <c r="AP18" s="74"/>
      <c r="AQ18" s="90"/>
    </row>
    <row r="19" spans="1:45" x14ac:dyDescent="0.3">
      <c r="A19" s="119" t="s">
        <v>19</v>
      </c>
      <c r="B19" s="65">
        <v>817740</v>
      </c>
      <c r="C19" s="150"/>
      <c r="D19" s="66">
        <f t="shared" si="2"/>
        <v>412133691.19999999</v>
      </c>
      <c r="E19" s="64">
        <v>442817</v>
      </c>
      <c r="F19" s="67"/>
      <c r="G19" s="66">
        <f t="shared" si="8"/>
        <v>223175831.84888884</v>
      </c>
      <c r="H19" s="184">
        <f t="shared" si="3"/>
        <v>635309523.0488888</v>
      </c>
      <c r="I19" s="190">
        <v>900</v>
      </c>
      <c r="J19" s="202">
        <f t="shared" si="4"/>
        <v>370920322.07999998</v>
      </c>
      <c r="K19" s="178">
        <f t="shared" si="5"/>
        <v>200858248.66399997</v>
      </c>
      <c r="L19" s="184">
        <f t="shared" si="0"/>
        <v>571778570.74399996</v>
      </c>
      <c r="M19" s="66">
        <v>17474000</v>
      </c>
      <c r="N19" s="68">
        <f t="shared" si="1"/>
        <v>36.357418052471601</v>
      </c>
      <c r="O19" s="68">
        <f t="shared" si="9"/>
        <v>32.721676247224444</v>
      </c>
      <c r="P19" s="64">
        <v>1018100000</v>
      </c>
      <c r="Q19" s="170">
        <f t="shared" si="6"/>
        <v>56.161336876927606</v>
      </c>
      <c r="R19" s="166">
        <f t="shared" si="7"/>
        <v>58.263706077601007</v>
      </c>
      <c r="S19" s="55"/>
      <c r="T19" s="55"/>
      <c r="U19" s="55"/>
      <c r="V19" s="55"/>
      <c r="W19" s="55"/>
      <c r="X19" s="55"/>
      <c r="Y19" s="55"/>
      <c r="Z19" s="55"/>
      <c r="AA19" s="55"/>
      <c r="AB19" s="55"/>
      <c r="AC19" s="55"/>
      <c r="AD19" s="55"/>
      <c r="AE19" s="55"/>
      <c r="AF19" s="55"/>
      <c r="AG19" s="74" t="s">
        <v>92</v>
      </c>
      <c r="AH19" s="72">
        <v>1064964</v>
      </c>
      <c r="AI19" s="86">
        <f>AH19*0.4</f>
        <v>425985.60000000003</v>
      </c>
      <c r="AJ19" s="77">
        <v>1131378</v>
      </c>
      <c r="AK19" s="89">
        <f>AJ19*0.4</f>
        <v>452551.2</v>
      </c>
      <c r="AL19" s="77">
        <v>859906</v>
      </c>
      <c r="AM19" s="89">
        <f>AL19*0.4</f>
        <v>343962.4</v>
      </c>
      <c r="AN19" s="77">
        <v>811216</v>
      </c>
      <c r="AO19" s="89">
        <f>AN19*0.4</f>
        <v>324486.40000000002</v>
      </c>
      <c r="AP19" s="77">
        <v>185788</v>
      </c>
      <c r="AQ19" s="89">
        <f>AP19*0.4</f>
        <v>74315.199999999997</v>
      </c>
      <c r="AS19" s="52">
        <f>AQ19/1000</f>
        <v>74.31519999999999</v>
      </c>
    </row>
    <row r="20" spans="1:45" x14ac:dyDescent="0.3">
      <c r="A20" s="119" t="s">
        <v>20</v>
      </c>
      <c r="B20" s="65">
        <v>907703</v>
      </c>
      <c r="C20" s="150"/>
      <c r="D20" s="66">
        <f t="shared" si="2"/>
        <v>457474243.52888888</v>
      </c>
      <c r="E20" s="64">
        <v>458336</v>
      </c>
      <c r="F20" s="67"/>
      <c r="G20" s="66">
        <f t="shared" si="8"/>
        <v>230997269.90222222</v>
      </c>
      <c r="H20" s="184">
        <f t="shared" si="3"/>
        <v>688471513.4311111</v>
      </c>
      <c r="I20" s="190">
        <v>900</v>
      </c>
      <c r="J20" s="202">
        <f t="shared" si="4"/>
        <v>411726819.176</v>
      </c>
      <c r="K20" s="178">
        <f t="shared" si="5"/>
        <v>207897542.912</v>
      </c>
      <c r="L20" s="184">
        <f t="shared" si="0"/>
        <v>619624362.08800006</v>
      </c>
      <c r="M20" s="66">
        <v>17867000</v>
      </c>
      <c r="N20" s="68">
        <f t="shared" si="1"/>
        <v>38.533134461919239</v>
      </c>
      <c r="O20" s="68">
        <f t="shared" si="9"/>
        <v>34.67982101572732</v>
      </c>
      <c r="P20" s="64">
        <v>1087500000</v>
      </c>
      <c r="Q20" s="170">
        <f t="shared" si="6"/>
        <v>56.976952835678162</v>
      </c>
      <c r="R20" s="166">
        <f t="shared" si="7"/>
        <v>60.866401746236079</v>
      </c>
      <c r="S20" s="55"/>
      <c r="T20" s="55"/>
      <c r="U20" s="55"/>
      <c r="V20" s="55"/>
      <c r="W20" s="55"/>
      <c r="X20" s="55"/>
      <c r="Y20" s="55"/>
      <c r="Z20" s="55"/>
      <c r="AA20" s="55"/>
      <c r="AB20" s="55"/>
      <c r="AC20" s="55"/>
      <c r="AD20" s="55"/>
      <c r="AE20" s="55"/>
      <c r="AF20" s="55"/>
      <c r="AG20" s="74" t="s">
        <v>93</v>
      </c>
      <c r="AH20" s="72">
        <v>213511631</v>
      </c>
      <c r="AI20" s="86">
        <f>AH20*0.6</f>
        <v>128106978.59999999</v>
      </c>
      <c r="AJ20" s="77">
        <v>235801836</v>
      </c>
      <c r="AK20" s="89">
        <f>AJ20*0.6</f>
        <v>141481101.59999999</v>
      </c>
      <c r="AL20" s="77">
        <v>302612906</v>
      </c>
      <c r="AM20" s="89">
        <f>AL20*0.6</f>
        <v>181567743.59999999</v>
      </c>
      <c r="AN20" s="77">
        <v>338257246</v>
      </c>
      <c r="AO20" s="89">
        <f>AN20*0.6</f>
        <v>202954347.59999999</v>
      </c>
      <c r="AP20" s="77">
        <v>88123775</v>
      </c>
      <c r="AQ20" s="89">
        <f>AP20*0.6</f>
        <v>52874265</v>
      </c>
      <c r="AS20" s="52">
        <f t="shared" ref="AS20:AS22" si="12">AQ20/1000</f>
        <v>52874.264999999999</v>
      </c>
    </row>
    <row r="21" spans="1:45" x14ac:dyDescent="0.3">
      <c r="A21" s="119" t="s">
        <v>21</v>
      </c>
      <c r="B21" s="65">
        <v>999428</v>
      </c>
      <c r="C21" s="150"/>
      <c r="D21" s="66">
        <f t="shared" si="2"/>
        <v>503702828.19555551</v>
      </c>
      <c r="E21" s="64">
        <v>474669</v>
      </c>
      <c r="F21" s="67"/>
      <c r="G21" s="66">
        <f t="shared" si="8"/>
        <v>239228956.72</v>
      </c>
      <c r="H21" s="184">
        <f t="shared" si="3"/>
        <v>742931784.91555548</v>
      </c>
      <c r="I21" s="190">
        <v>900</v>
      </c>
      <c r="J21" s="202">
        <f t="shared" si="4"/>
        <v>453332545.37599999</v>
      </c>
      <c r="K21" s="178">
        <f t="shared" si="5"/>
        <v>215306061.04800001</v>
      </c>
      <c r="L21" s="184">
        <f t="shared" si="0"/>
        <v>668638606.42399991</v>
      </c>
      <c r="M21" s="66">
        <v>18298000</v>
      </c>
      <c r="N21" s="68">
        <f t="shared" si="1"/>
        <v>40.601802651413024</v>
      </c>
      <c r="O21" s="68">
        <f t="shared" si="9"/>
        <v>36.541622386271719</v>
      </c>
      <c r="P21" s="64">
        <v>1343000000</v>
      </c>
      <c r="Q21" s="170">
        <f t="shared" si="6"/>
        <v>49.786940165599397</v>
      </c>
      <c r="R21" s="166">
        <f t="shared" si="7"/>
        <v>73.395999562793747</v>
      </c>
      <c r="S21" s="55"/>
      <c r="T21" s="55"/>
      <c r="U21" s="55"/>
      <c r="V21" s="55"/>
      <c r="W21" s="55"/>
      <c r="X21" s="55"/>
      <c r="Y21" s="55"/>
      <c r="Z21" s="55"/>
      <c r="AA21" s="55"/>
      <c r="AB21" s="55"/>
      <c r="AC21" s="55"/>
      <c r="AD21" s="55"/>
      <c r="AE21" s="55"/>
      <c r="AF21" s="55"/>
      <c r="AG21" s="74" t="s">
        <v>94</v>
      </c>
      <c r="AH21" s="72">
        <v>771863722</v>
      </c>
      <c r="AI21" s="86">
        <f>AH21*0.7</f>
        <v>540304605.39999998</v>
      </c>
      <c r="AJ21" s="77">
        <v>805745291</v>
      </c>
      <c r="AK21" s="89">
        <f>AJ21*0.7</f>
        <v>564021703.69999993</v>
      </c>
      <c r="AL21" s="77">
        <v>804768160</v>
      </c>
      <c r="AM21" s="89">
        <f>AL21*0.7</f>
        <v>563337712</v>
      </c>
      <c r="AN21" s="77">
        <v>813553145</v>
      </c>
      <c r="AO21" s="89">
        <f>AN21*0.7</f>
        <v>569487201.5</v>
      </c>
      <c r="AP21" s="77">
        <v>203906768</v>
      </c>
      <c r="AQ21" s="89">
        <f>AP21*0.7</f>
        <v>142734737.59999999</v>
      </c>
      <c r="AS21" s="52">
        <f t="shared" si="12"/>
        <v>142734.73759999999</v>
      </c>
    </row>
    <row r="22" spans="1:45" x14ac:dyDescent="0.3">
      <c r="A22" s="119" t="s">
        <v>22</v>
      </c>
      <c r="B22" s="65">
        <v>1031861</v>
      </c>
      <c r="C22" s="150"/>
      <c r="D22" s="66">
        <f t="shared" si="2"/>
        <v>520048771.90222216</v>
      </c>
      <c r="E22" s="64">
        <v>500979</v>
      </c>
      <c r="F22" s="67"/>
      <c r="G22" s="66">
        <f t="shared" si="8"/>
        <v>252488962.85333335</v>
      </c>
      <c r="H22" s="184">
        <f t="shared" si="3"/>
        <v>772537734.75555551</v>
      </c>
      <c r="I22" s="190">
        <v>900</v>
      </c>
      <c r="J22" s="202">
        <f t="shared" si="4"/>
        <v>468043894.71199995</v>
      </c>
      <c r="K22" s="178">
        <f t="shared" si="5"/>
        <v>227240066.56800002</v>
      </c>
      <c r="L22" s="184">
        <f t="shared" si="0"/>
        <v>695283961.27999997</v>
      </c>
      <c r="M22" s="66">
        <v>18733000</v>
      </c>
      <c r="N22" s="68">
        <f t="shared" si="1"/>
        <v>41.239402912270087</v>
      </c>
      <c r="O22" s="68">
        <f t="shared" si="9"/>
        <v>37.115462621043079</v>
      </c>
      <c r="P22" s="64">
        <v>962000000</v>
      </c>
      <c r="Q22" s="170">
        <f t="shared" si="6"/>
        <v>72.274840049896056</v>
      </c>
      <c r="R22" s="166">
        <f t="shared" si="7"/>
        <v>51.353226925746007</v>
      </c>
      <c r="S22" s="55"/>
      <c r="T22" s="55"/>
      <c r="U22" s="55"/>
      <c r="V22" s="55"/>
      <c r="W22" s="55"/>
      <c r="X22" s="55"/>
      <c r="Y22" s="55"/>
      <c r="Z22" s="55"/>
      <c r="AA22" s="55"/>
      <c r="AB22" s="55"/>
      <c r="AC22" s="55"/>
      <c r="AD22" s="55"/>
      <c r="AE22" s="55"/>
      <c r="AF22" s="55"/>
      <c r="AG22" s="74" t="s">
        <v>95</v>
      </c>
      <c r="AH22" s="72">
        <v>20137121</v>
      </c>
      <c r="AI22" s="86">
        <f>AH22*0.9</f>
        <v>18123408.900000002</v>
      </c>
      <c r="AJ22" s="77">
        <v>16638015</v>
      </c>
      <c r="AK22" s="89">
        <f>AJ22*0.9</f>
        <v>14974213.5</v>
      </c>
      <c r="AL22" s="77">
        <v>17726350</v>
      </c>
      <c r="AM22" s="89">
        <f>AL22*0.9</f>
        <v>15953715</v>
      </c>
      <c r="AN22" s="77">
        <v>17669489</v>
      </c>
      <c r="AO22" s="89">
        <f>AN22*0.9</f>
        <v>15902540.1</v>
      </c>
      <c r="AP22" s="77">
        <v>4113490</v>
      </c>
      <c r="AQ22" s="89">
        <f>AP22*0.9</f>
        <v>3702141</v>
      </c>
      <c r="AS22" s="52">
        <f t="shared" si="12"/>
        <v>3702.1410000000001</v>
      </c>
    </row>
    <row r="23" spans="1:45" x14ac:dyDescent="0.3">
      <c r="A23" s="119" t="s">
        <v>23</v>
      </c>
      <c r="B23" s="65">
        <v>1084596</v>
      </c>
      <c r="C23" s="150"/>
      <c r="D23" s="66">
        <f t="shared" si="2"/>
        <v>546626743.14666665</v>
      </c>
      <c r="E23" s="64">
        <v>512365</v>
      </c>
      <c r="F23" s="67"/>
      <c r="G23" s="66">
        <f t="shared" si="8"/>
        <v>258227405.64444447</v>
      </c>
      <c r="H23" s="184">
        <f t="shared" si="3"/>
        <v>804854148.79111111</v>
      </c>
      <c r="I23" s="190">
        <v>900</v>
      </c>
      <c r="J23" s="202">
        <f t="shared" si="4"/>
        <v>491964068.83200002</v>
      </c>
      <c r="K23" s="178">
        <f t="shared" si="5"/>
        <v>232404665.08000001</v>
      </c>
      <c r="L23" s="184">
        <f t="shared" si="0"/>
        <v>724368733.91200006</v>
      </c>
      <c r="M23" s="66">
        <v>19167000</v>
      </c>
      <c r="N23" s="68">
        <f t="shared" si="1"/>
        <v>41.991660081969592</v>
      </c>
      <c r="O23" s="68">
        <f t="shared" si="9"/>
        <v>37.79249407377263</v>
      </c>
      <c r="P23" s="64">
        <v>1229000000</v>
      </c>
      <c r="Q23" s="170">
        <f t="shared" si="6"/>
        <v>58.939685428152977</v>
      </c>
      <c r="R23" s="166">
        <f t="shared" si="7"/>
        <v>64.120623989148015</v>
      </c>
      <c r="S23" s="55"/>
      <c r="T23" s="55"/>
      <c r="U23" s="55"/>
      <c r="V23" s="55"/>
      <c r="W23" s="55"/>
      <c r="X23" s="55"/>
      <c r="Y23" s="55"/>
      <c r="Z23" s="55"/>
      <c r="AA23" s="55"/>
      <c r="AB23" s="55"/>
      <c r="AC23" s="55"/>
      <c r="AD23" s="55"/>
      <c r="AE23" s="55"/>
      <c r="AF23" s="55"/>
      <c r="AG23" s="91" t="s">
        <v>98</v>
      </c>
      <c r="AH23" s="92">
        <v>1006577438</v>
      </c>
      <c r="AI23" s="93">
        <f>SUM(AI19:AI22)</f>
        <v>686960978.49999988</v>
      </c>
      <c r="AJ23" s="94">
        <v>1059316520</v>
      </c>
      <c r="AK23" s="95">
        <f t="shared" ref="AK23:AQ23" si="13">SUM(AK19:AK22)</f>
        <v>720929569.99999988</v>
      </c>
      <c r="AL23" s="94">
        <f t="shared" si="13"/>
        <v>1125967322</v>
      </c>
      <c r="AM23" s="95">
        <f t="shared" si="13"/>
        <v>761203133</v>
      </c>
      <c r="AN23" s="94">
        <f t="shared" si="13"/>
        <v>1170291096</v>
      </c>
      <c r="AO23" s="95">
        <f t="shared" si="13"/>
        <v>788668575.60000002</v>
      </c>
      <c r="AP23" s="94">
        <f t="shared" si="13"/>
        <v>296329821</v>
      </c>
      <c r="AQ23" s="95">
        <f t="shared" si="13"/>
        <v>199385458.80000001</v>
      </c>
      <c r="AS23" s="52">
        <f>SUM(AS19:AS22)</f>
        <v>199385.45879999999</v>
      </c>
    </row>
    <row r="24" spans="1:45" x14ac:dyDescent="0.3">
      <c r="A24" s="119" t="s">
        <v>24</v>
      </c>
      <c r="B24" s="65"/>
      <c r="C24" s="150"/>
      <c r="D24" s="66">
        <f>510101*1000/0.9</f>
        <v>566778888.88888884</v>
      </c>
      <c r="E24" s="64"/>
      <c r="F24" s="67"/>
      <c r="G24" s="66">
        <f>230887*1000/0.9</f>
        <v>256541111.1111111</v>
      </c>
      <c r="H24" s="184">
        <f t="shared" si="3"/>
        <v>823320000</v>
      </c>
      <c r="I24" s="190">
        <v>900</v>
      </c>
      <c r="J24" s="202">
        <f t="shared" si="4"/>
        <v>510100999.99999994</v>
      </c>
      <c r="K24" s="178">
        <f t="shared" si="5"/>
        <v>230887000</v>
      </c>
      <c r="L24" s="184">
        <f t="shared" si="0"/>
        <v>740988000</v>
      </c>
      <c r="M24" s="66">
        <v>19618000</v>
      </c>
      <c r="N24" s="68">
        <f t="shared" si="1"/>
        <v>41.967580793149146</v>
      </c>
      <c r="O24" s="68">
        <f t="shared" si="9"/>
        <v>37.770822713834235</v>
      </c>
      <c r="P24" s="64">
        <v>1250000000</v>
      </c>
      <c r="Q24" s="170">
        <f t="shared" si="6"/>
        <v>59.279040000000002</v>
      </c>
      <c r="R24" s="166">
        <f t="shared" si="7"/>
        <v>63.716994596798855</v>
      </c>
      <c r="S24" s="55"/>
      <c r="T24" s="55"/>
      <c r="U24" s="55"/>
      <c r="V24" s="55"/>
      <c r="W24" s="55"/>
      <c r="X24" s="55"/>
      <c r="Y24" s="55"/>
      <c r="Z24" s="55"/>
      <c r="AA24" s="55"/>
      <c r="AB24" s="55"/>
      <c r="AC24" s="55"/>
      <c r="AD24" s="55"/>
      <c r="AE24" s="55"/>
      <c r="AF24" s="55"/>
      <c r="AG24" s="74"/>
      <c r="AH24" s="71"/>
      <c r="AI24" s="87"/>
      <c r="AJ24" s="74"/>
      <c r="AK24" s="90"/>
      <c r="AL24" s="74"/>
      <c r="AM24" s="90"/>
      <c r="AN24" s="74"/>
      <c r="AO24" s="90"/>
      <c r="AP24" s="74"/>
      <c r="AQ24" s="90"/>
    </row>
    <row r="25" spans="1:45" x14ac:dyDescent="0.3">
      <c r="A25" s="119" t="s">
        <v>25</v>
      </c>
      <c r="B25" s="65"/>
      <c r="C25" s="150"/>
      <c r="D25" s="66">
        <f>552523*1000/0.9</f>
        <v>613914444.44444442</v>
      </c>
      <c r="E25" s="64"/>
      <c r="F25" s="67"/>
      <c r="G25" s="66">
        <f>231189*1000/0.9</f>
        <v>256876666.66666666</v>
      </c>
      <c r="H25" s="184">
        <f t="shared" si="3"/>
        <v>870791111.11111104</v>
      </c>
      <c r="I25" s="190">
        <v>900</v>
      </c>
      <c r="J25" s="202">
        <f t="shared" si="4"/>
        <v>552523000</v>
      </c>
      <c r="K25" s="178">
        <f t="shared" si="5"/>
        <v>231189000</v>
      </c>
      <c r="L25" s="184">
        <f t="shared" si="0"/>
        <v>783712000</v>
      </c>
      <c r="M25" s="66">
        <v>19211000</v>
      </c>
      <c r="N25" s="68">
        <f t="shared" si="1"/>
        <v>45.327734689038103</v>
      </c>
      <c r="O25" s="68">
        <f t="shared" si="9"/>
        <v>40.794961220134297</v>
      </c>
      <c r="P25" s="64">
        <v>1437000000</v>
      </c>
      <c r="Q25" s="170">
        <f t="shared" si="6"/>
        <v>54.538065414057066</v>
      </c>
      <c r="R25" s="166">
        <f t="shared" si="7"/>
        <v>74.800895320389358</v>
      </c>
      <c r="S25" s="55"/>
      <c r="T25" s="55"/>
      <c r="U25" s="55"/>
      <c r="V25" s="55"/>
      <c r="W25" s="55"/>
      <c r="X25" s="55"/>
      <c r="Y25" s="55"/>
      <c r="Z25" s="55"/>
      <c r="AA25" s="55"/>
      <c r="AB25" s="55"/>
      <c r="AC25" s="55"/>
      <c r="AD25" s="55"/>
      <c r="AE25" s="55"/>
      <c r="AF25" s="55"/>
      <c r="AG25" s="74" t="s">
        <v>99</v>
      </c>
      <c r="AH25" s="71"/>
      <c r="AI25" s="87"/>
      <c r="AJ25" s="74"/>
      <c r="AK25" s="90"/>
      <c r="AL25" s="74"/>
      <c r="AM25" s="90"/>
      <c r="AN25" s="74"/>
      <c r="AO25" s="90"/>
      <c r="AP25" s="74"/>
      <c r="AQ25" s="90"/>
    </row>
    <row r="26" spans="1:45" x14ac:dyDescent="0.3">
      <c r="A26" s="119" t="s">
        <v>26</v>
      </c>
      <c r="B26" s="65"/>
      <c r="C26" s="150"/>
      <c r="D26" s="66">
        <f>543117*1000/0.9</f>
        <v>603463333.33333337</v>
      </c>
      <c r="E26" s="64"/>
      <c r="F26" s="67"/>
      <c r="G26" s="66">
        <f>276064*1000/0.9</f>
        <v>306737777.77777779</v>
      </c>
      <c r="H26" s="184">
        <f t="shared" si="3"/>
        <v>910201111.11111116</v>
      </c>
      <c r="I26" s="190">
        <v>900</v>
      </c>
      <c r="J26" s="202">
        <f t="shared" si="4"/>
        <v>543117000</v>
      </c>
      <c r="K26" s="178">
        <f t="shared" si="5"/>
        <v>276064000</v>
      </c>
      <c r="L26" s="184">
        <f t="shared" si="0"/>
        <v>819181000.00000012</v>
      </c>
      <c r="M26" s="66">
        <v>19640000</v>
      </c>
      <c r="N26" s="68">
        <f t="shared" si="1"/>
        <v>46.344252093233763</v>
      </c>
      <c r="O26" s="68">
        <f t="shared" si="9"/>
        <v>41.709826883910395</v>
      </c>
      <c r="P26" s="64">
        <v>1165000000</v>
      </c>
      <c r="Q26" s="170">
        <f t="shared" si="6"/>
        <v>70.315965665236064</v>
      </c>
      <c r="R26" s="166">
        <f t="shared" si="7"/>
        <v>59.317718940936864</v>
      </c>
      <c r="S26" s="55"/>
      <c r="T26" s="55"/>
      <c r="U26" s="55"/>
      <c r="V26" s="55"/>
      <c r="W26" s="55"/>
      <c r="X26" s="55"/>
      <c r="Y26" s="55"/>
      <c r="Z26" s="55"/>
      <c r="AA26" s="55"/>
      <c r="AB26" s="55"/>
      <c r="AC26" s="55"/>
      <c r="AD26" s="55"/>
      <c r="AE26" s="55"/>
      <c r="AF26" s="55"/>
      <c r="AG26" s="74" t="s">
        <v>92</v>
      </c>
      <c r="AH26" s="72">
        <v>27137</v>
      </c>
      <c r="AI26" s="86">
        <f>AH26*0.4</f>
        <v>10854.800000000001</v>
      </c>
      <c r="AJ26" s="77">
        <v>16565</v>
      </c>
      <c r="AK26" s="89">
        <f>AJ26*0.4</f>
        <v>6626</v>
      </c>
      <c r="AL26" s="77">
        <v>14648</v>
      </c>
      <c r="AM26" s="89">
        <f>AL26*0.4</f>
        <v>5859.2000000000007</v>
      </c>
      <c r="AN26" s="77">
        <v>13968</v>
      </c>
      <c r="AO26" s="89">
        <f>AN26*0.4</f>
        <v>5587.2000000000007</v>
      </c>
      <c r="AP26" s="77">
        <v>3880</v>
      </c>
      <c r="AQ26" s="89">
        <f>AP26*0.4</f>
        <v>1552</v>
      </c>
      <c r="AS26" s="52">
        <f>AQ26/1000</f>
        <v>1.552</v>
      </c>
    </row>
    <row r="27" spans="1:45" x14ac:dyDescent="0.3">
      <c r="A27" s="119" t="s">
        <v>27</v>
      </c>
      <c r="B27" s="65"/>
      <c r="C27" s="150"/>
      <c r="D27" s="66">
        <f>540402*1000/0.9</f>
        <v>600446666.66666663</v>
      </c>
      <c r="E27" s="64"/>
      <c r="F27" s="67"/>
      <c r="G27" s="66">
        <f>319465*1000/0.9</f>
        <v>354961111.1111111</v>
      </c>
      <c r="H27" s="184">
        <f t="shared" si="3"/>
        <v>955407777.77777767</v>
      </c>
      <c r="I27" s="190">
        <v>900</v>
      </c>
      <c r="J27" s="202">
        <f t="shared" si="4"/>
        <v>540402000</v>
      </c>
      <c r="K27" s="178">
        <f t="shared" si="5"/>
        <v>319465000</v>
      </c>
      <c r="L27" s="184">
        <f t="shared" si="0"/>
        <v>859866999.99999988</v>
      </c>
      <c r="M27" s="66">
        <v>20080000</v>
      </c>
      <c r="N27" s="68">
        <f t="shared" si="1"/>
        <v>47.580068614431156</v>
      </c>
      <c r="O27" s="68">
        <f t="shared" si="9"/>
        <v>42.822061752988041</v>
      </c>
      <c r="P27" s="64">
        <v>1402000000</v>
      </c>
      <c r="Q27" s="170">
        <f t="shared" si="6"/>
        <v>61.331455064193996</v>
      </c>
      <c r="R27" s="166">
        <f t="shared" si="7"/>
        <v>69.820717131474098</v>
      </c>
      <c r="S27" s="55"/>
      <c r="T27" s="55"/>
      <c r="U27" s="55"/>
      <c r="V27" s="55"/>
      <c r="W27" s="55"/>
      <c r="X27" s="55"/>
      <c r="Y27" s="55"/>
      <c r="Z27" s="55"/>
      <c r="AA27" s="55"/>
      <c r="AB27" s="55"/>
      <c r="AC27" s="55"/>
      <c r="AD27" s="55"/>
      <c r="AE27" s="55"/>
      <c r="AF27" s="55"/>
      <c r="AG27" s="74" t="s">
        <v>93</v>
      </c>
      <c r="AH27" s="72">
        <v>507374</v>
      </c>
      <c r="AI27" s="86">
        <f>AH27*0.6</f>
        <v>304424.39999999997</v>
      </c>
      <c r="AJ27" s="77">
        <v>617299</v>
      </c>
      <c r="AK27" s="89">
        <f>AJ27*0.6</f>
        <v>370379.39999999997</v>
      </c>
      <c r="AL27" s="77">
        <v>576869</v>
      </c>
      <c r="AM27" s="89">
        <f>AL27*0.6</f>
        <v>346121.39999999997</v>
      </c>
      <c r="AN27" s="77">
        <v>595774</v>
      </c>
      <c r="AO27" s="89">
        <f>AN27*0.6</f>
        <v>357464.39999999997</v>
      </c>
      <c r="AP27" s="77">
        <v>122879</v>
      </c>
      <c r="AQ27" s="89">
        <f>AP27*0.6</f>
        <v>73727.399999999994</v>
      </c>
      <c r="AS27" s="52">
        <f t="shared" ref="AS27:AS29" si="14">AQ27/1000</f>
        <v>73.727399999999989</v>
      </c>
    </row>
    <row r="28" spans="1:45" x14ac:dyDescent="0.3">
      <c r="A28" s="119" t="s">
        <v>28</v>
      </c>
      <c r="B28" s="65"/>
      <c r="C28" s="150"/>
      <c r="D28" s="66">
        <f>564467*1000/0.9</f>
        <v>627185555.55555558</v>
      </c>
      <c r="E28" s="64"/>
      <c r="F28" s="67"/>
      <c r="G28" s="66">
        <f>329257*1000/0.9</f>
        <v>365841111.1111111</v>
      </c>
      <c r="H28" s="184">
        <f t="shared" si="3"/>
        <v>993026666.66666675</v>
      </c>
      <c r="I28" s="190">
        <v>900</v>
      </c>
      <c r="J28" s="202">
        <f t="shared" si="4"/>
        <v>564467000</v>
      </c>
      <c r="K28" s="178">
        <f t="shared" si="5"/>
        <v>329257000</v>
      </c>
      <c r="L28" s="184">
        <f t="shared" si="0"/>
        <v>893724000.00000012</v>
      </c>
      <c r="M28" s="66">
        <v>20524000</v>
      </c>
      <c r="N28" s="68">
        <f t="shared" si="1"/>
        <v>48.383680893912825</v>
      </c>
      <c r="O28" s="68">
        <f t="shared" si="9"/>
        <v>43.545312804521544</v>
      </c>
      <c r="P28" s="64">
        <v>1288000000</v>
      </c>
      <c r="Q28" s="170">
        <f t="shared" si="6"/>
        <v>69.388509316770197</v>
      </c>
      <c r="R28" s="166">
        <f t="shared" si="7"/>
        <v>62.755798090040926</v>
      </c>
      <c r="S28" s="55"/>
      <c r="T28" s="55"/>
      <c r="U28" s="55"/>
      <c r="V28" s="55"/>
      <c r="W28" s="55"/>
      <c r="X28" s="55"/>
      <c r="Y28" s="55"/>
      <c r="Z28" s="55"/>
      <c r="AA28" s="55"/>
      <c r="AB28" s="55"/>
      <c r="AC28" s="55"/>
      <c r="AD28" s="55"/>
      <c r="AE28" s="55"/>
      <c r="AF28" s="55"/>
      <c r="AG28" s="74" t="s">
        <v>94</v>
      </c>
      <c r="AH28" s="72">
        <v>8707512</v>
      </c>
      <c r="AI28" s="86">
        <f>AH28*0.7</f>
        <v>6095258.3999999994</v>
      </c>
      <c r="AJ28" s="77">
        <v>7397611</v>
      </c>
      <c r="AK28" s="89">
        <f>AJ28*0.7</f>
        <v>5178327.6999999993</v>
      </c>
      <c r="AL28" s="77">
        <v>6032062</v>
      </c>
      <c r="AM28" s="89">
        <f>AL28*0.7</f>
        <v>4222443.3999999994</v>
      </c>
      <c r="AN28" s="77">
        <v>6023626</v>
      </c>
      <c r="AO28" s="89">
        <f>AN28*0.7</f>
        <v>4216538.2</v>
      </c>
      <c r="AP28" s="77">
        <v>1525161</v>
      </c>
      <c r="AQ28" s="89">
        <f>AP28*0.7</f>
        <v>1067612.7</v>
      </c>
      <c r="AS28" s="52">
        <f t="shared" si="14"/>
        <v>1067.6126999999999</v>
      </c>
    </row>
    <row r="29" spans="1:45" x14ac:dyDescent="0.3">
      <c r="A29" s="119" t="s">
        <v>29</v>
      </c>
      <c r="B29" s="65"/>
      <c r="C29" s="212" t="s">
        <v>81</v>
      </c>
      <c r="D29" s="66">
        <f>(632328+3903)*1000/0.9</f>
        <v>706923333.33333337</v>
      </c>
      <c r="E29" s="64"/>
      <c r="F29" s="67"/>
      <c r="G29" s="66">
        <f>329113*1000/0.9</f>
        <v>365681111.1111111</v>
      </c>
      <c r="H29" s="184">
        <f t="shared" si="3"/>
        <v>1072604444.4444444</v>
      </c>
      <c r="I29" s="190">
        <v>900</v>
      </c>
      <c r="J29" s="202">
        <f t="shared" si="4"/>
        <v>636231000</v>
      </c>
      <c r="K29" s="178">
        <f t="shared" si="5"/>
        <v>329113000</v>
      </c>
      <c r="L29" s="184">
        <f t="shared" si="0"/>
        <v>965344000</v>
      </c>
      <c r="M29" s="66">
        <v>20980000</v>
      </c>
      <c r="N29" s="68">
        <f t="shared" si="1"/>
        <v>51.125092680860078</v>
      </c>
      <c r="O29" s="68">
        <f t="shared" si="9"/>
        <v>46.01258341277407</v>
      </c>
      <c r="P29" s="64">
        <v>1483000000</v>
      </c>
      <c r="Q29" s="170">
        <f t="shared" si="6"/>
        <v>65.093998651382336</v>
      </c>
      <c r="R29" s="166">
        <f t="shared" si="7"/>
        <v>70.686367969494754</v>
      </c>
      <c r="S29" s="55"/>
      <c r="T29" s="55"/>
      <c r="U29" s="55"/>
      <c r="V29" s="55"/>
      <c r="W29" s="55"/>
      <c r="X29" s="55"/>
      <c r="Y29" s="55"/>
      <c r="Z29" s="55"/>
      <c r="AA29" s="55"/>
      <c r="AB29" s="55"/>
      <c r="AC29" s="55"/>
      <c r="AD29" s="55"/>
      <c r="AE29" s="55"/>
      <c r="AF29" s="55"/>
      <c r="AG29" s="74" t="s">
        <v>95</v>
      </c>
      <c r="AH29" s="72">
        <v>22726394</v>
      </c>
      <c r="AI29" s="86">
        <f>AH29*0.9</f>
        <v>20453754.600000001</v>
      </c>
      <c r="AJ29" s="77">
        <v>22364064</v>
      </c>
      <c r="AK29" s="89">
        <f>AJ29*0.9</f>
        <v>20127657.600000001</v>
      </c>
      <c r="AL29" s="77">
        <v>23390073</v>
      </c>
      <c r="AM29" s="89">
        <f>AL29*0.9</f>
        <v>21051065.699999999</v>
      </c>
      <c r="AN29" s="77">
        <v>22413722</v>
      </c>
      <c r="AO29" s="89">
        <f>AN29*0.9</f>
        <v>20172349.800000001</v>
      </c>
      <c r="AP29" s="77">
        <v>5250676</v>
      </c>
      <c r="AQ29" s="89">
        <f>AP29*0.9</f>
        <v>4725608.4000000004</v>
      </c>
      <c r="AS29" s="52">
        <f t="shared" si="14"/>
        <v>4725.6084000000001</v>
      </c>
    </row>
    <row r="30" spans="1:45" x14ac:dyDescent="0.3">
      <c r="A30" s="119" t="s">
        <v>30</v>
      </c>
      <c r="B30" s="65"/>
      <c r="C30" s="150"/>
      <c r="D30" s="66">
        <f>(663809+8566)*1000/0.9</f>
        <v>747083333.33333337</v>
      </c>
      <c r="E30" s="64"/>
      <c r="F30" s="67"/>
      <c r="G30" s="66">
        <f>340265*1000/0.9</f>
        <v>378072222.22222221</v>
      </c>
      <c r="H30" s="184">
        <f t="shared" si="3"/>
        <v>1125155555.5555556</v>
      </c>
      <c r="I30" s="190">
        <v>900</v>
      </c>
      <c r="J30" s="202">
        <f t="shared" si="4"/>
        <v>672375000</v>
      </c>
      <c r="K30" s="178">
        <f t="shared" si="5"/>
        <v>340265000</v>
      </c>
      <c r="L30" s="184">
        <f t="shared" si="0"/>
        <v>1012640000</v>
      </c>
      <c r="M30" s="66">
        <v>21447000</v>
      </c>
      <c r="N30" s="68">
        <f t="shared" si="1"/>
        <v>52.462141817296384</v>
      </c>
      <c r="O30" s="68">
        <f t="shared" si="9"/>
        <v>47.215927635566743</v>
      </c>
      <c r="P30" s="64">
        <v>1612000000</v>
      </c>
      <c r="Q30" s="170">
        <f t="shared" si="6"/>
        <v>62.818858560794041</v>
      </c>
      <c r="R30" s="166">
        <f t="shared" si="7"/>
        <v>75.162027323168743</v>
      </c>
      <c r="S30" s="55"/>
      <c r="T30" s="55"/>
      <c r="U30" s="55"/>
      <c r="V30" s="55"/>
      <c r="W30" s="55"/>
      <c r="X30" s="55"/>
      <c r="Y30" s="55"/>
      <c r="Z30" s="55"/>
      <c r="AA30" s="55"/>
      <c r="AB30" s="55"/>
      <c r="AC30" s="55"/>
      <c r="AD30" s="55"/>
      <c r="AE30" s="55"/>
      <c r="AF30" s="55"/>
      <c r="AG30" s="91" t="s">
        <v>100</v>
      </c>
      <c r="AH30" s="92">
        <v>31968417</v>
      </c>
      <c r="AI30" s="93">
        <f>SUM(AI26:AI29)</f>
        <v>26864292.200000003</v>
      </c>
      <c r="AJ30" s="94">
        <v>30395539</v>
      </c>
      <c r="AK30" s="95">
        <f t="shared" ref="AK30:AQ30" si="15">SUM(AK26:AK29)</f>
        <v>25682990.700000003</v>
      </c>
      <c r="AL30" s="94">
        <f t="shared" si="15"/>
        <v>30013652</v>
      </c>
      <c r="AM30" s="95">
        <f t="shared" si="15"/>
        <v>25625489.699999999</v>
      </c>
      <c r="AN30" s="94">
        <f t="shared" si="15"/>
        <v>29047090</v>
      </c>
      <c r="AO30" s="95">
        <f t="shared" si="15"/>
        <v>24751939.600000001</v>
      </c>
      <c r="AP30" s="94">
        <f t="shared" si="15"/>
        <v>6902596</v>
      </c>
      <c r="AQ30" s="95">
        <f t="shared" si="15"/>
        <v>5868500.5</v>
      </c>
      <c r="AS30" s="52">
        <f>SUM(AS26:AS29)</f>
        <v>5868.5005000000001</v>
      </c>
    </row>
    <row r="31" spans="1:45" x14ac:dyDescent="0.3">
      <c r="A31" s="119" t="s">
        <v>31</v>
      </c>
      <c r="B31" s="65"/>
      <c r="C31" s="150"/>
      <c r="D31" s="66">
        <f>(9119+790286)*1000/0.9</f>
        <v>888227777.77777779</v>
      </c>
      <c r="E31" s="64"/>
      <c r="F31" s="67"/>
      <c r="G31" s="66">
        <f>394133*1000/0.9</f>
        <v>437925555.55555552</v>
      </c>
      <c r="H31" s="184">
        <f t="shared" si="3"/>
        <v>1326153333.3333333</v>
      </c>
      <c r="I31" s="190">
        <v>900</v>
      </c>
      <c r="J31" s="202">
        <f t="shared" si="4"/>
        <v>799405000</v>
      </c>
      <c r="K31" s="178">
        <f t="shared" si="5"/>
        <v>394133000</v>
      </c>
      <c r="L31" s="184">
        <f t="shared" si="0"/>
        <v>1193538000</v>
      </c>
      <c r="M31" s="66">
        <v>21921000</v>
      </c>
      <c r="N31" s="68">
        <f t="shared" si="1"/>
        <v>60.496935967033131</v>
      </c>
      <c r="O31" s="68">
        <f t="shared" si="9"/>
        <v>54.447242370329818</v>
      </c>
      <c r="P31" s="64">
        <v>1709000000</v>
      </c>
      <c r="Q31" s="170">
        <f t="shared" si="6"/>
        <v>69.838385020479805</v>
      </c>
      <c r="R31" s="166">
        <f t="shared" si="7"/>
        <v>77.961771816979152</v>
      </c>
      <c r="S31" s="55"/>
      <c r="T31" s="55"/>
      <c r="U31" s="55"/>
      <c r="V31" s="55"/>
      <c r="W31" s="55"/>
      <c r="X31" s="55"/>
      <c r="Y31" s="55"/>
      <c r="Z31" s="55"/>
      <c r="AA31" s="55"/>
      <c r="AB31" s="55"/>
      <c r="AC31" s="55"/>
      <c r="AD31" s="55"/>
      <c r="AE31" s="55"/>
      <c r="AF31" s="55"/>
      <c r="AG31" s="74"/>
      <c r="AH31" s="71"/>
      <c r="AI31" s="87"/>
      <c r="AJ31" s="74"/>
      <c r="AK31" s="90"/>
      <c r="AL31" s="74"/>
      <c r="AM31" s="90"/>
      <c r="AN31" s="74"/>
      <c r="AO31" s="90"/>
      <c r="AP31" s="74"/>
      <c r="AQ31" s="90"/>
    </row>
    <row r="32" spans="1:45" x14ac:dyDescent="0.3">
      <c r="A32" s="119" t="s">
        <v>32</v>
      </c>
      <c r="B32" s="65"/>
      <c r="C32" s="150"/>
      <c r="D32" s="66">
        <f>(6841+759108)*1000/0.9</f>
        <v>851054444.44444442</v>
      </c>
      <c r="E32" s="64"/>
      <c r="F32" s="67"/>
      <c r="G32" s="66">
        <f>423308*1000/0.9</f>
        <v>470342222.22222221</v>
      </c>
      <c r="H32" s="184">
        <f t="shared" si="3"/>
        <v>1321396666.6666665</v>
      </c>
      <c r="I32" s="190">
        <v>900</v>
      </c>
      <c r="J32" s="202">
        <f t="shared" si="4"/>
        <v>765949000</v>
      </c>
      <c r="K32" s="178">
        <f t="shared" si="5"/>
        <v>423308000</v>
      </c>
      <c r="L32" s="184">
        <f t="shared" si="0"/>
        <v>1189257000</v>
      </c>
      <c r="M32" s="66">
        <v>22410000</v>
      </c>
      <c r="N32" s="68">
        <f t="shared" si="1"/>
        <v>58.964599137289895</v>
      </c>
      <c r="O32" s="68">
        <f t="shared" si="9"/>
        <v>53.068139223560912</v>
      </c>
      <c r="P32" s="64">
        <v>1681000000</v>
      </c>
      <c r="Q32" s="170">
        <f t="shared" si="6"/>
        <v>70.746995835812015</v>
      </c>
      <c r="R32" s="166">
        <f t="shared" si="7"/>
        <v>75.011155734047307</v>
      </c>
      <c r="S32" s="55"/>
      <c r="T32" s="55"/>
      <c r="U32" s="55"/>
      <c r="V32" s="55"/>
      <c r="W32" s="55"/>
      <c r="X32" s="55"/>
      <c r="Y32" s="55"/>
      <c r="Z32" s="55"/>
      <c r="AA32" s="55"/>
      <c r="AB32" s="55"/>
      <c r="AC32" s="55"/>
      <c r="AD32" s="55"/>
      <c r="AE32" s="55"/>
      <c r="AF32" s="55"/>
      <c r="AG32" s="74" t="s">
        <v>101</v>
      </c>
      <c r="AH32" s="71"/>
      <c r="AI32" s="87"/>
      <c r="AJ32" s="74"/>
      <c r="AK32" s="90"/>
      <c r="AL32" s="74"/>
      <c r="AM32" s="90"/>
      <c r="AN32" s="74"/>
      <c r="AO32" s="90"/>
      <c r="AP32" s="74"/>
      <c r="AQ32" s="90"/>
    </row>
    <row r="33" spans="1:45" x14ac:dyDescent="0.3">
      <c r="A33" s="119" t="s">
        <v>33</v>
      </c>
      <c r="B33" s="65"/>
      <c r="C33" s="212" t="s">
        <v>76</v>
      </c>
      <c r="D33" s="66">
        <f>(16738+499449)*1000/0.9</f>
        <v>573541111.11111104</v>
      </c>
      <c r="E33" s="64"/>
      <c r="F33" s="67"/>
      <c r="G33" s="66">
        <f>696844*1000/0.9</f>
        <v>774271111.11111104</v>
      </c>
      <c r="H33" s="184">
        <f t="shared" si="3"/>
        <v>1347812222.2222221</v>
      </c>
      <c r="I33" s="190">
        <v>900</v>
      </c>
      <c r="J33" s="202">
        <f t="shared" si="4"/>
        <v>516186999.99999994</v>
      </c>
      <c r="K33" s="178">
        <f t="shared" si="5"/>
        <v>696844000</v>
      </c>
      <c r="L33" s="184">
        <f t="shared" si="0"/>
        <v>1213031000</v>
      </c>
      <c r="M33" s="66">
        <v>22907000</v>
      </c>
      <c r="N33" s="68">
        <f t="shared" si="1"/>
        <v>58.838443367626581</v>
      </c>
      <c r="O33" s="68">
        <f t="shared" si="9"/>
        <v>52.954599030863925</v>
      </c>
      <c r="P33" s="64">
        <v>1675000000</v>
      </c>
      <c r="Q33" s="170">
        <f t="shared" si="6"/>
        <v>72.419761194029846</v>
      </c>
      <c r="R33" s="166">
        <f t="shared" si="7"/>
        <v>73.121753175885104</v>
      </c>
      <c r="S33" s="55"/>
      <c r="T33" s="55"/>
      <c r="U33" s="55"/>
      <c r="V33" s="55"/>
      <c r="W33" s="55"/>
      <c r="X33" s="55"/>
      <c r="Y33" s="55"/>
      <c r="Z33" s="55"/>
      <c r="AA33" s="55"/>
      <c r="AB33" s="55"/>
      <c r="AC33" s="55"/>
      <c r="AD33" s="55"/>
      <c r="AE33" s="55"/>
      <c r="AF33" s="55"/>
      <c r="AG33" s="74" t="s">
        <v>92</v>
      </c>
      <c r="AH33" s="72">
        <v>61892</v>
      </c>
      <c r="AI33" s="86">
        <f>AH33*0.4</f>
        <v>24756.800000000003</v>
      </c>
      <c r="AJ33" s="77">
        <v>56236</v>
      </c>
      <c r="AK33" s="89">
        <f>AJ33*0.4</f>
        <v>22494.400000000001</v>
      </c>
      <c r="AL33" s="77">
        <v>62396</v>
      </c>
      <c r="AM33" s="89">
        <f>AL33*0.4</f>
        <v>24958.400000000001</v>
      </c>
      <c r="AN33" s="77">
        <v>38205</v>
      </c>
      <c r="AO33" s="89">
        <f>AN33*0.4</f>
        <v>15282</v>
      </c>
      <c r="AP33" s="77">
        <v>8588</v>
      </c>
      <c r="AQ33" s="89">
        <f>AP33*0.4</f>
        <v>3435.2000000000003</v>
      </c>
      <c r="AS33" s="52">
        <f>AQ33/1000</f>
        <v>3.4352000000000005</v>
      </c>
    </row>
    <row r="34" spans="1:45" x14ac:dyDescent="0.3">
      <c r="A34" s="119" t="s">
        <v>34</v>
      </c>
      <c r="B34" s="65"/>
      <c r="C34" s="150"/>
      <c r="D34" s="66">
        <f>(12697+379433)*1000/0.9</f>
        <v>435700000</v>
      </c>
      <c r="E34" s="64"/>
      <c r="F34" s="67"/>
      <c r="G34" s="66">
        <f>899567*1000/0.9</f>
        <v>999518888.88888884</v>
      </c>
      <c r="H34" s="184">
        <f t="shared" si="3"/>
        <v>1435218888.8888888</v>
      </c>
      <c r="I34" s="190">
        <v>900</v>
      </c>
      <c r="J34" s="202">
        <f t="shared" si="4"/>
        <v>392130000</v>
      </c>
      <c r="K34" s="178">
        <f t="shared" si="5"/>
        <v>899567000</v>
      </c>
      <c r="L34" s="184">
        <f t="shared" si="0"/>
        <v>1291697000</v>
      </c>
      <c r="M34" s="66">
        <v>23434000</v>
      </c>
      <c r="N34" s="68">
        <f t="shared" si="1"/>
        <v>61.245151868604971</v>
      </c>
      <c r="O34" s="68">
        <f t="shared" si="9"/>
        <v>55.120636681744472</v>
      </c>
      <c r="P34" s="64">
        <v>1903000000</v>
      </c>
      <c r="Q34" s="170">
        <f t="shared" si="6"/>
        <v>67.876878612716766</v>
      </c>
      <c r="R34" s="166">
        <f t="shared" si="7"/>
        <v>81.206793547836483</v>
      </c>
      <c r="S34" s="55"/>
      <c r="T34" s="55"/>
      <c r="U34" s="55"/>
      <c r="V34" s="55"/>
      <c r="W34" s="55"/>
      <c r="X34" s="55"/>
      <c r="Y34" s="55"/>
      <c r="Z34" s="55"/>
      <c r="AA34" s="55"/>
      <c r="AB34" s="55"/>
      <c r="AC34" s="55"/>
      <c r="AD34" s="55"/>
      <c r="AE34" s="55"/>
      <c r="AF34" s="55"/>
      <c r="AG34" s="74" t="s">
        <v>93</v>
      </c>
      <c r="AH34" s="72">
        <v>385483</v>
      </c>
      <c r="AI34" s="86">
        <f>AH34*0.6</f>
        <v>231289.8</v>
      </c>
      <c r="AJ34" s="77">
        <v>431695</v>
      </c>
      <c r="AK34" s="89">
        <f>AJ34*0.6</f>
        <v>259017</v>
      </c>
      <c r="AL34" s="77">
        <v>290477</v>
      </c>
      <c r="AM34" s="89">
        <f>AL34*0.6</f>
        <v>174286.19999999998</v>
      </c>
      <c r="AN34" s="77">
        <v>397131</v>
      </c>
      <c r="AO34" s="89">
        <f>AN34*0.6</f>
        <v>238278.59999999998</v>
      </c>
      <c r="AP34" s="77">
        <v>99192</v>
      </c>
      <c r="AQ34" s="89">
        <f>AP34*0.6</f>
        <v>59515.199999999997</v>
      </c>
      <c r="AS34" s="52">
        <f t="shared" ref="AS34:AS36" si="16">AQ34/1000</f>
        <v>59.5152</v>
      </c>
    </row>
    <row r="35" spans="1:45" x14ac:dyDescent="0.3">
      <c r="A35" s="119" t="s">
        <v>35</v>
      </c>
      <c r="B35" s="65"/>
      <c r="C35" s="150"/>
      <c r="D35" s="66">
        <f>(7799+392774)*1000/0.9</f>
        <v>445081111.1111111</v>
      </c>
      <c r="E35" s="64"/>
      <c r="F35" s="67"/>
      <c r="G35" s="66">
        <f>1029347*1000/0.9</f>
        <v>1143718888.8888888</v>
      </c>
      <c r="H35" s="184">
        <f t="shared" si="3"/>
        <v>1588800000</v>
      </c>
      <c r="I35" s="190">
        <v>900</v>
      </c>
      <c r="J35" s="202">
        <f t="shared" si="4"/>
        <v>400573000</v>
      </c>
      <c r="K35" s="178">
        <f t="shared" si="5"/>
        <v>1029347000</v>
      </c>
      <c r="L35" s="184">
        <f t="shared" si="0"/>
        <v>1429920000</v>
      </c>
      <c r="M35" s="66">
        <v>23994000</v>
      </c>
      <c r="N35" s="68">
        <f t="shared" si="1"/>
        <v>66.216554138534633</v>
      </c>
      <c r="O35" s="68">
        <f t="shared" si="9"/>
        <v>59.594898724681173</v>
      </c>
      <c r="P35" s="64">
        <v>1781000000</v>
      </c>
      <c r="Q35" s="170">
        <f t="shared" si="6"/>
        <v>80.287478944413252</v>
      </c>
      <c r="R35" s="166">
        <f t="shared" si="7"/>
        <v>74.226890055847292</v>
      </c>
      <c r="S35" s="55"/>
      <c r="T35" s="55"/>
      <c r="U35" s="55"/>
      <c r="V35" s="55"/>
      <c r="W35" s="55"/>
      <c r="X35" s="55"/>
      <c r="Y35" s="55"/>
      <c r="Z35" s="55"/>
      <c r="AA35" s="55"/>
      <c r="AB35" s="55"/>
      <c r="AC35" s="55"/>
      <c r="AD35" s="55"/>
      <c r="AE35" s="55"/>
      <c r="AF35" s="55"/>
      <c r="AG35" s="74" t="s">
        <v>94</v>
      </c>
      <c r="AH35" s="72">
        <v>487173</v>
      </c>
      <c r="AI35" s="86">
        <f>AH35*0.7</f>
        <v>341021.1</v>
      </c>
      <c r="AJ35" s="77">
        <v>399645</v>
      </c>
      <c r="AK35" s="89">
        <f>AJ35*0.7</f>
        <v>279751.5</v>
      </c>
      <c r="AL35" s="77">
        <v>136163</v>
      </c>
      <c r="AM35" s="89">
        <f>AL35*0.7</f>
        <v>95314.099999999991</v>
      </c>
      <c r="AN35" s="77">
        <v>112121</v>
      </c>
      <c r="AO35" s="89">
        <f>AN35*0.7</f>
        <v>78484.7</v>
      </c>
      <c r="AP35" s="77">
        <v>30094</v>
      </c>
      <c r="AQ35" s="89">
        <f>AP35*0.7</f>
        <v>21065.8</v>
      </c>
      <c r="AS35" s="52">
        <f t="shared" si="16"/>
        <v>21.065799999999999</v>
      </c>
    </row>
    <row r="36" spans="1:45" x14ac:dyDescent="0.3">
      <c r="A36" s="120" t="s">
        <v>36</v>
      </c>
      <c r="B36" s="70"/>
      <c r="C36" s="153"/>
      <c r="D36" s="66">
        <f>(7424+442487)*1000/0.9</f>
        <v>499901111.1111111</v>
      </c>
      <c r="E36" s="64"/>
      <c r="F36" s="67"/>
      <c r="G36" s="66">
        <f>1080168*1000/0.9</f>
        <v>1200186666.6666667</v>
      </c>
      <c r="H36" s="184">
        <f t="shared" si="3"/>
        <v>1700087777.7777779</v>
      </c>
      <c r="I36" s="190">
        <v>900</v>
      </c>
      <c r="J36" s="202">
        <f t="shared" si="4"/>
        <v>449911000</v>
      </c>
      <c r="K36" s="178">
        <f t="shared" si="5"/>
        <v>1080168000</v>
      </c>
      <c r="L36" s="184">
        <f t="shared" si="0"/>
        <v>1530079000.0000002</v>
      </c>
      <c r="M36" s="66">
        <v>24591000</v>
      </c>
      <c r="N36" s="68">
        <f t="shared" si="1"/>
        <v>69.134552388181774</v>
      </c>
      <c r="O36" s="68">
        <f t="shared" si="9"/>
        <v>62.221097149363601</v>
      </c>
      <c r="P36" s="64">
        <v>2030000000</v>
      </c>
      <c r="Q36" s="170">
        <f t="shared" si="6"/>
        <v>75.373349753694598</v>
      </c>
      <c r="R36" s="166">
        <f t="shared" si="7"/>
        <v>82.55052661542841</v>
      </c>
      <c r="S36" s="55"/>
      <c r="T36" s="55"/>
      <c r="U36" s="55"/>
      <c r="V36" s="55"/>
      <c r="W36" s="55"/>
      <c r="X36" s="55"/>
      <c r="Y36" s="55"/>
      <c r="Z36" s="55"/>
      <c r="AA36" s="55"/>
      <c r="AB36" s="55"/>
      <c r="AC36" s="55"/>
      <c r="AD36" s="55"/>
      <c r="AE36" s="55"/>
      <c r="AF36" s="55"/>
      <c r="AG36" s="74" t="s">
        <v>95</v>
      </c>
      <c r="AH36" s="72">
        <v>1946688</v>
      </c>
      <c r="AI36" s="86">
        <f>AH36*0.9</f>
        <v>1752019.2</v>
      </c>
      <c r="AJ36" s="77">
        <v>2833618</v>
      </c>
      <c r="AK36" s="89">
        <f>AJ36*0.9</f>
        <v>2550256.2000000002</v>
      </c>
      <c r="AL36" s="77">
        <v>3066399</v>
      </c>
      <c r="AM36" s="89">
        <f>AL36*0.9</f>
        <v>2759759.1</v>
      </c>
      <c r="AN36" s="77">
        <v>3721635</v>
      </c>
      <c r="AO36" s="89">
        <f>AN36*0.9</f>
        <v>3349471.5</v>
      </c>
      <c r="AP36" s="77">
        <v>552992</v>
      </c>
      <c r="AQ36" s="89">
        <f>AP36*0.9</f>
        <v>497692.8</v>
      </c>
      <c r="AS36" s="52">
        <f t="shared" si="16"/>
        <v>497.69279999999998</v>
      </c>
    </row>
    <row r="37" spans="1:45" x14ac:dyDescent="0.3">
      <c r="A37" s="120" t="s">
        <v>37</v>
      </c>
      <c r="B37" s="70"/>
      <c r="C37" s="153"/>
      <c r="D37" s="66">
        <f>(6144+448829)*1000/0.9</f>
        <v>505525555.55555552</v>
      </c>
      <c r="E37" s="64"/>
      <c r="F37" s="67"/>
      <c r="G37" s="66">
        <f>1040937*1000/0.9</f>
        <v>1156596666.6666667</v>
      </c>
      <c r="H37" s="184">
        <f t="shared" si="3"/>
        <v>1662122222.2222223</v>
      </c>
      <c r="I37" s="190">
        <v>900</v>
      </c>
      <c r="J37" s="202">
        <f t="shared" si="4"/>
        <v>454973000</v>
      </c>
      <c r="K37" s="178">
        <f t="shared" si="5"/>
        <v>1040937000.0000001</v>
      </c>
      <c r="L37" s="184">
        <f t="shared" si="0"/>
        <v>1495910000.0000002</v>
      </c>
      <c r="M37" s="66">
        <v>25215000</v>
      </c>
      <c r="N37" s="68">
        <f t="shared" si="1"/>
        <v>65.917994139290997</v>
      </c>
      <c r="O37" s="68">
        <f t="shared" si="9"/>
        <v>59.326194725361894</v>
      </c>
      <c r="P37" s="64">
        <v>1998000000</v>
      </c>
      <c r="Q37" s="170">
        <f t="shared" si="6"/>
        <v>74.870370370370381</v>
      </c>
      <c r="R37" s="166">
        <f t="shared" si="7"/>
        <v>79.238548483045804</v>
      </c>
      <c r="S37" s="55"/>
      <c r="T37" s="55"/>
      <c r="U37" s="55"/>
      <c r="V37" s="55"/>
      <c r="W37" s="55"/>
      <c r="X37" s="55"/>
      <c r="Y37" s="55"/>
      <c r="Z37" s="55"/>
      <c r="AA37" s="55"/>
      <c r="AB37" s="55"/>
      <c r="AC37" s="55"/>
      <c r="AD37" s="55"/>
      <c r="AE37" s="55"/>
      <c r="AF37" s="55"/>
      <c r="AG37" s="91" t="s">
        <v>102</v>
      </c>
      <c r="AH37" s="92">
        <v>2881236</v>
      </c>
      <c r="AI37" s="93">
        <f>SUM(AI33:AI36)</f>
        <v>2349086.9</v>
      </c>
      <c r="AJ37" s="94">
        <v>3721194</v>
      </c>
      <c r="AK37" s="95">
        <f t="shared" ref="AK37:AQ37" si="17">SUM(AK33:AK36)</f>
        <v>3111519.1</v>
      </c>
      <c r="AL37" s="94">
        <f t="shared" si="17"/>
        <v>3555435</v>
      </c>
      <c r="AM37" s="95">
        <f t="shared" si="17"/>
        <v>3054317.8</v>
      </c>
      <c r="AN37" s="94">
        <f t="shared" si="17"/>
        <v>4269092</v>
      </c>
      <c r="AO37" s="95">
        <f t="shared" si="17"/>
        <v>3681516.8</v>
      </c>
      <c r="AP37" s="94">
        <f t="shared" si="17"/>
        <v>690866</v>
      </c>
      <c r="AQ37" s="95">
        <f t="shared" si="17"/>
        <v>581709</v>
      </c>
      <c r="AS37" s="52">
        <f>SUM(AS33:AS36)</f>
        <v>581.70899999999995</v>
      </c>
    </row>
    <row r="38" spans="1:45" x14ac:dyDescent="0.3">
      <c r="A38" s="120" t="s">
        <v>38</v>
      </c>
      <c r="B38" s="70"/>
      <c r="C38" s="153"/>
      <c r="D38" s="66">
        <f>(4524+384102)*1000/0.9</f>
        <v>431806666.66666663</v>
      </c>
      <c r="E38" s="64"/>
      <c r="F38" s="67"/>
      <c r="G38" s="66">
        <f>1110014*1000/0.9</f>
        <v>1233348888.8888888</v>
      </c>
      <c r="H38" s="184">
        <f t="shared" si="3"/>
        <v>1665155555.5555553</v>
      </c>
      <c r="I38" s="190">
        <v>900</v>
      </c>
      <c r="J38" s="202">
        <f t="shared" si="4"/>
        <v>388626000</v>
      </c>
      <c r="K38" s="178">
        <f t="shared" si="5"/>
        <v>1110014000</v>
      </c>
      <c r="L38" s="184">
        <f t="shared" si="0"/>
        <v>1498639999.9999998</v>
      </c>
      <c r="M38" s="66">
        <v>25887000</v>
      </c>
      <c r="N38" s="68">
        <f t="shared" si="1"/>
        <v>64.324006472575249</v>
      </c>
      <c r="O38" s="68">
        <f>L38/M38</f>
        <v>57.891605825317718</v>
      </c>
      <c r="P38" s="64">
        <v>1983000000</v>
      </c>
      <c r="Q38" s="170">
        <f t="shared" si="6"/>
        <v>75.574382249117491</v>
      </c>
      <c r="R38" s="166">
        <f t="shared" si="7"/>
        <v>76.602155522076714</v>
      </c>
      <c r="S38" s="55"/>
      <c r="T38" s="55"/>
      <c r="U38" s="55"/>
      <c r="V38" s="55"/>
      <c r="W38" s="55"/>
      <c r="X38" s="55"/>
      <c r="Y38" s="55"/>
      <c r="Z38" s="55"/>
      <c r="AA38" s="55"/>
      <c r="AB38" s="55"/>
      <c r="AC38" s="55"/>
      <c r="AD38" s="55"/>
      <c r="AE38" s="55"/>
      <c r="AF38" s="55"/>
      <c r="AG38" s="74"/>
      <c r="AH38" s="71"/>
      <c r="AI38" s="87"/>
      <c r="AJ38" s="74"/>
      <c r="AK38" s="90"/>
      <c r="AL38" s="74"/>
      <c r="AM38" s="90"/>
      <c r="AN38" s="74"/>
      <c r="AO38" s="90"/>
      <c r="AP38" s="74"/>
      <c r="AQ38" s="90"/>
    </row>
    <row r="39" spans="1:45" ht="17.25" thickBot="1" x14ac:dyDescent="0.35">
      <c r="A39" s="120" t="s">
        <v>39</v>
      </c>
      <c r="B39" s="70"/>
      <c r="C39" s="153"/>
      <c r="D39" s="66">
        <f>399802*1000/0.9</f>
        <v>444224444.44444442</v>
      </c>
      <c r="E39" s="64"/>
      <c r="F39" s="67"/>
      <c r="G39" s="66">
        <f>1157411*1000/0.9</f>
        <v>1286012222.2222221</v>
      </c>
      <c r="H39" s="184">
        <f t="shared" si="3"/>
        <v>1730236666.6666665</v>
      </c>
      <c r="I39" s="190">
        <v>900</v>
      </c>
      <c r="J39" s="202">
        <f t="shared" si="4"/>
        <v>399802000</v>
      </c>
      <c r="K39" s="178">
        <f t="shared" si="5"/>
        <v>1157411000</v>
      </c>
      <c r="L39" s="184">
        <f t="shared" si="0"/>
        <v>1557213000</v>
      </c>
      <c r="M39" s="66">
        <v>26564000</v>
      </c>
      <c r="N39" s="68">
        <f t="shared" si="1"/>
        <v>65.134643377001453</v>
      </c>
      <c r="O39" s="68">
        <f>L39/M39</f>
        <v>58.62117903930131</v>
      </c>
      <c r="P39" s="64">
        <v>2388000000</v>
      </c>
      <c r="Q39" s="170">
        <f>L39/P39*100</f>
        <v>65.209924623115583</v>
      </c>
      <c r="R39" s="166">
        <f>P39/M39</f>
        <v>89.896099984942026</v>
      </c>
      <c r="S39" s="55"/>
      <c r="T39" s="55"/>
      <c r="U39" s="55"/>
      <c r="V39" s="55"/>
      <c r="W39" s="55"/>
      <c r="X39" s="55"/>
      <c r="Y39" s="55"/>
      <c r="Z39" s="55"/>
      <c r="AA39" s="55"/>
      <c r="AB39" s="55"/>
      <c r="AC39" s="55"/>
      <c r="AD39" s="55"/>
      <c r="AE39" s="55"/>
      <c r="AF39" s="55"/>
      <c r="AG39" s="96" t="s">
        <v>84</v>
      </c>
      <c r="AH39" s="97">
        <v>2067985142</v>
      </c>
      <c r="AI39" s="98">
        <f>AI16+AI23+AI30+AI37</f>
        <v>1417458211.5999999</v>
      </c>
      <c r="AJ39" s="99">
        <v>2135698041</v>
      </c>
      <c r="AK39" s="100">
        <f t="shared" ref="AK39:AQ39" si="18">AK16+AK23+AK30+AK37</f>
        <v>1460667427.6999998</v>
      </c>
      <c r="AL39" s="99">
        <f t="shared" si="18"/>
        <v>2275768485</v>
      </c>
      <c r="AM39" s="100">
        <f t="shared" si="18"/>
        <v>1547644611.9000001</v>
      </c>
      <c r="AN39" s="99">
        <f t="shared" si="18"/>
        <v>2370908127</v>
      </c>
      <c r="AO39" s="100">
        <f t="shared" si="18"/>
        <v>1609491322.0999997</v>
      </c>
      <c r="AP39" s="99">
        <f t="shared" si="18"/>
        <v>598866223</v>
      </c>
      <c r="AQ39" s="100">
        <f t="shared" si="18"/>
        <v>406247285</v>
      </c>
      <c r="AS39" s="52">
        <f>SUM(AS16+AS23+AS30+AS37)</f>
        <v>406247.28500000003</v>
      </c>
    </row>
    <row r="40" spans="1:45" x14ac:dyDescent="0.3">
      <c r="A40" s="120" t="s">
        <v>40</v>
      </c>
      <c r="B40" s="70"/>
      <c r="C40" s="153"/>
      <c r="D40" s="66">
        <f>437703*1000/0.9</f>
        <v>486336666.66666663</v>
      </c>
      <c r="E40" s="64"/>
      <c r="F40" s="67"/>
      <c r="G40" s="66">
        <f>1188202*1000/0.9</f>
        <v>1320224444.4444444</v>
      </c>
      <c r="H40" s="184">
        <f t="shared" si="3"/>
        <v>1806561111.1111112</v>
      </c>
      <c r="I40" s="190">
        <v>900</v>
      </c>
      <c r="J40" s="202">
        <f t="shared" si="4"/>
        <v>437703000</v>
      </c>
      <c r="K40" s="178">
        <f t="shared" si="5"/>
        <v>1188202000</v>
      </c>
      <c r="L40" s="184">
        <f t="shared" si="0"/>
        <v>1625905000</v>
      </c>
      <c r="M40" s="66">
        <v>27241000</v>
      </c>
      <c r="N40" s="68">
        <f>H40/M40</f>
        <v>66.317723692636505</v>
      </c>
      <c r="O40" s="68">
        <f>L40/M40</f>
        <v>59.685951323372855</v>
      </c>
      <c r="P40" s="64">
        <v>2232000000</v>
      </c>
      <c r="Q40" s="170">
        <f>L40/P40*100</f>
        <v>72.845206093189958</v>
      </c>
      <c r="R40" s="166">
        <f>P40/M40</f>
        <v>81.935318086707539</v>
      </c>
      <c r="S40" s="55"/>
      <c r="T40" s="55"/>
      <c r="U40" s="55"/>
      <c r="V40" s="55"/>
      <c r="W40" s="55"/>
      <c r="X40" s="55"/>
      <c r="Y40" s="55"/>
      <c r="Z40" s="55"/>
      <c r="AA40" s="55"/>
      <c r="AB40" s="55"/>
      <c r="AC40" s="55"/>
      <c r="AD40" s="55"/>
      <c r="AE40" s="55"/>
      <c r="AF40" s="55"/>
    </row>
    <row r="41" spans="1:45" x14ac:dyDescent="0.3">
      <c r="A41" s="120" t="s">
        <v>41</v>
      </c>
      <c r="B41" s="70"/>
      <c r="C41" s="153"/>
      <c r="D41" s="66">
        <f>451568*1000/0.9</f>
        <v>501742222.22222221</v>
      </c>
      <c r="E41" s="64"/>
      <c r="F41" s="67"/>
      <c r="G41" s="66">
        <f>1217178*1000/0.9</f>
        <v>1352420000</v>
      </c>
      <c r="H41" s="184">
        <f t="shared" si="3"/>
        <v>1854162222.2222223</v>
      </c>
      <c r="I41" s="191">
        <v>850</v>
      </c>
      <c r="J41" s="203">
        <f>D41*0.85</f>
        <v>426480888.8888889</v>
      </c>
      <c r="K41" s="178">
        <f>G41*0.85</f>
        <v>1149557000</v>
      </c>
      <c r="L41" s="184">
        <f>H41*0.85</f>
        <v>1576037888.8888888</v>
      </c>
      <c r="M41" s="66">
        <v>27916000</v>
      </c>
      <c r="N41" s="68">
        <f t="shared" si="1"/>
        <v>66.419337377211008</v>
      </c>
      <c r="O41" s="68">
        <f t="shared" si="9"/>
        <v>56.456436770629345</v>
      </c>
      <c r="P41" s="64">
        <v>2236000000</v>
      </c>
      <c r="Q41" s="170">
        <f>L41/P41*100</f>
        <v>70.484699860862648</v>
      </c>
      <c r="R41" s="166">
        <f>P41/M41</f>
        <v>80.097435162630745</v>
      </c>
      <c r="S41" s="55"/>
      <c r="T41" s="55"/>
      <c r="U41" s="55"/>
      <c r="V41" s="55"/>
      <c r="W41" s="55"/>
      <c r="X41" s="55"/>
      <c r="Y41" s="55"/>
      <c r="Z41" s="55"/>
      <c r="AA41" s="55"/>
      <c r="AB41" s="55"/>
      <c r="AC41" s="55"/>
      <c r="AD41" s="55"/>
      <c r="AE41" s="55"/>
      <c r="AF41" s="55"/>
    </row>
    <row r="42" spans="1:45" x14ac:dyDescent="0.3">
      <c r="A42" s="120" t="s">
        <v>42</v>
      </c>
      <c r="B42" s="70"/>
      <c r="C42" s="153"/>
      <c r="D42" s="66">
        <f>510196*1000/0.9</f>
        <v>566884444.44444442</v>
      </c>
      <c r="E42" s="64"/>
      <c r="F42" s="67"/>
      <c r="G42" s="66">
        <f>1204906*1000/0.9</f>
        <v>1338784444.4444444</v>
      </c>
      <c r="H42" s="184">
        <f t="shared" si="3"/>
        <v>1905668888.8888888</v>
      </c>
      <c r="I42" s="191">
        <v>850</v>
      </c>
      <c r="J42" s="203">
        <f>D42*0.85</f>
        <v>481851777.77777773</v>
      </c>
      <c r="K42" s="68">
        <f>G42*0.85</f>
        <v>1137966777.7777777</v>
      </c>
      <c r="L42" s="184">
        <f>H42*0.85</f>
        <v>1619818555.5555556</v>
      </c>
      <c r="M42" s="66">
        <v>28587000</v>
      </c>
      <c r="N42" s="68">
        <f>H42/M42</f>
        <v>66.662080277359948</v>
      </c>
      <c r="O42" s="68">
        <f>L42/M42</f>
        <v>56.662768235755955</v>
      </c>
      <c r="P42" s="64">
        <v>2345000000</v>
      </c>
      <c r="Q42" s="170">
        <f>L42/P42*100</f>
        <v>69.075418147358448</v>
      </c>
      <c r="R42" s="166">
        <f>P42/M42</f>
        <v>82.030293490047924</v>
      </c>
      <c r="S42" s="55"/>
      <c r="T42" s="55"/>
      <c r="U42" s="55"/>
      <c r="V42" s="55"/>
      <c r="W42" s="55"/>
      <c r="X42" s="55"/>
      <c r="Y42" s="55"/>
      <c r="Z42" s="55"/>
      <c r="AA42" s="55"/>
      <c r="AB42" s="55"/>
      <c r="AC42" s="55"/>
      <c r="AD42" s="55"/>
      <c r="AE42" s="55">
        <f>K42-J42</f>
        <v>656115000</v>
      </c>
      <c r="AF42" s="55"/>
    </row>
    <row r="43" spans="1:45" x14ac:dyDescent="0.3">
      <c r="A43" s="120" t="s">
        <v>43</v>
      </c>
      <c r="B43" s="70"/>
      <c r="C43" s="153"/>
      <c r="D43" s="66"/>
      <c r="E43" s="64"/>
      <c r="F43" s="67"/>
      <c r="G43" s="66"/>
      <c r="H43" s="184"/>
      <c r="I43" s="191"/>
      <c r="J43" s="203"/>
      <c r="K43" s="68"/>
      <c r="L43" s="184"/>
      <c r="M43" s="197">
        <v>29249000</v>
      </c>
      <c r="N43" s="68"/>
      <c r="O43" s="68"/>
      <c r="P43" s="64">
        <v>2614019000</v>
      </c>
      <c r="Q43" s="170"/>
      <c r="R43" s="166">
        <f t="shared" si="7"/>
        <v>89.371226366713387</v>
      </c>
      <c r="S43" s="55"/>
      <c r="T43" s="55"/>
      <c r="U43" s="55"/>
      <c r="V43" s="55"/>
      <c r="W43" s="55"/>
      <c r="X43" s="55"/>
      <c r="Y43" s="55"/>
      <c r="Z43" s="55"/>
      <c r="AA43" s="55"/>
      <c r="AB43" s="55"/>
      <c r="AC43" s="55"/>
      <c r="AD43" s="55"/>
    </row>
    <row r="44" spans="1:45" x14ac:dyDescent="0.3">
      <c r="A44" s="120" t="s">
        <v>44</v>
      </c>
      <c r="B44" s="70"/>
      <c r="C44" s="153"/>
      <c r="D44" s="66"/>
      <c r="E44" s="64"/>
      <c r="F44" s="67"/>
      <c r="G44" s="66"/>
      <c r="H44" s="184"/>
      <c r="I44" s="191"/>
      <c r="J44" s="203"/>
      <c r="K44" s="68"/>
      <c r="L44" s="184"/>
      <c r="M44" s="197">
        <v>29908000</v>
      </c>
      <c r="N44" s="68"/>
      <c r="O44" s="68"/>
      <c r="P44" s="64">
        <v>2349962000</v>
      </c>
      <c r="Q44" s="170"/>
      <c r="R44" s="166">
        <f t="shared" si="7"/>
        <v>78.573023940082919</v>
      </c>
      <c r="S44" s="55"/>
      <c r="T44" s="55"/>
      <c r="U44" s="55"/>
      <c r="V44" s="55"/>
      <c r="W44" s="55"/>
      <c r="X44" s="55"/>
      <c r="Y44" s="55"/>
      <c r="Z44" s="55"/>
      <c r="AA44" s="55"/>
      <c r="AB44" s="55"/>
      <c r="AC44" s="55"/>
      <c r="AD44" s="55"/>
      <c r="AE44" s="55"/>
      <c r="AF44" s="55"/>
      <c r="AI44" s="52">
        <f>AI16+AI37</f>
        <v>703632940.89999986</v>
      </c>
      <c r="AK44" s="52">
        <f>AK16+AK37</f>
        <v>714054867</v>
      </c>
      <c r="AM44" s="52">
        <f>AM16+AM37</f>
        <v>760815989.19999993</v>
      </c>
      <c r="AN44" s="52">
        <f>AN16+AN37</f>
        <v>1171569941</v>
      </c>
      <c r="AO44" s="52">
        <f>AO16+AO37</f>
        <v>796070806.89999986</v>
      </c>
      <c r="AP44" s="52">
        <f>AP16+AP37</f>
        <v>295633806</v>
      </c>
      <c r="AQ44" s="52">
        <f>AQ16+AQ37</f>
        <v>200993325.70000002</v>
      </c>
    </row>
    <row r="45" spans="1:45" x14ac:dyDescent="0.3">
      <c r="A45" s="120" t="s">
        <v>45</v>
      </c>
      <c r="B45" s="70"/>
      <c r="C45" s="153"/>
      <c r="D45" s="66"/>
      <c r="E45" s="64"/>
      <c r="F45" s="67"/>
      <c r="G45" s="66"/>
      <c r="H45" s="184"/>
      <c r="I45" s="191"/>
      <c r="J45" s="203"/>
      <c r="K45" s="68"/>
      <c r="L45" s="184"/>
      <c r="M45" s="197">
        <v>30575000</v>
      </c>
      <c r="N45" s="68"/>
      <c r="O45" s="68"/>
      <c r="P45" s="64">
        <v>2307429000</v>
      </c>
      <c r="Q45" s="170"/>
      <c r="R45" s="166">
        <f t="shared" si="7"/>
        <v>75.467833197056422</v>
      </c>
      <c r="S45" s="55"/>
      <c r="T45" s="55"/>
      <c r="U45" s="55"/>
      <c r="V45" s="55"/>
      <c r="W45" s="55"/>
      <c r="X45" s="55"/>
      <c r="Y45" s="55"/>
      <c r="Z45" s="55"/>
      <c r="AA45" s="55"/>
      <c r="AB45" s="55"/>
      <c r="AC45" s="55"/>
      <c r="AD45" s="55"/>
      <c r="AE45" s="55"/>
      <c r="AF45" s="55"/>
      <c r="AI45" s="52">
        <f>AI23+AI30</f>
        <v>713825270.69999993</v>
      </c>
      <c r="AK45" s="52">
        <f>AK23+AK30</f>
        <v>746612560.69999993</v>
      </c>
      <c r="AM45" s="52">
        <f>AM23+AM30</f>
        <v>786828622.70000005</v>
      </c>
      <c r="AN45" s="52">
        <f>AN23+AN30</f>
        <v>1199338186</v>
      </c>
      <c r="AO45" s="52">
        <f>AO23+AO30</f>
        <v>813420515.20000005</v>
      </c>
      <c r="AP45" s="52">
        <f>AP23+AP30</f>
        <v>303232417</v>
      </c>
      <c r="AQ45" s="52">
        <f>AQ23+AQ30</f>
        <v>205253959.30000001</v>
      </c>
    </row>
    <row r="46" spans="1:45" x14ac:dyDescent="0.3">
      <c r="A46" s="120" t="s">
        <v>46</v>
      </c>
      <c r="B46" s="70"/>
      <c r="C46" s="153"/>
      <c r="D46" s="66"/>
      <c r="E46" s="64"/>
      <c r="F46" s="67"/>
      <c r="G46" s="66"/>
      <c r="H46" s="184"/>
      <c r="I46" s="191"/>
      <c r="J46" s="203"/>
      <c r="K46" s="68"/>
      <c r="L46" s="184"/>
      <c r="M46" s="197">
        <v>36199000</v>
      </c>
      <c r="N46" s="68"/>
      <c r="O46" s="68"/>
      <c r="P46" s="64">
        <v>2173797000</v>
      </c>
      <c r="Q46" s="170"/>
      <c r="R46" s="166">
        <f t="shared" si="7"/>
        <v>60.051299759661866</v>
      </c>
      <c r="S46" s="55"/>
      <c r="T46" s="55"/>
      <c r="U46" s="55"/>
      <c r="V46" s="55"/>
      <c r="W46" s="55"/>
      <c r="X46" s="55"/>
      <c r="Y46" s="55"/>
      <c r="Z46" s="55"/>
      <c r="AA46" s="55"/>
      <c r="AB46" s="55"/>
      <c r="AC46" s="55"/>
      <c r="AD46" s="55"/>
      <c r="AE46" s="55"/>
      <c r="AF46" s="55"/>
      <c r="AI46" s="52">
        <f>SUM(AI44:AI45)</f>
        <v>1417458211.5999999</v>
      </c>
      <c r="AK46" s="52">
        <f>SUM(AK44:AK45)</f>
        <v>1460667427.6999998</v>
      </c>
      <c r="AM46" s="52">
        <f>SUM(AM44:AM45)</f>
        <v>1547644611.9000001</v>
      </c>
      <c r="AN46" s="52">
        <f>SUM(AN44:AN45)</f>
        <v>2370908127</v>
      </c>
      <c r="AO46" s="52">
        <f>SUM(AO44:AO45)</f>
        <v>1609491322.0999999</v>
      </c>
      <c r="AP46" s="52">
        <f>SUM(AP44:AP45)</f>
        <v>598866223</v>
      </c>
      <c r="AQ46" s="52">
        <f>SUM(AQ44:AQ45)</f>
        <v>406247285</v>
      </c>
    </row>
    <row r="47" spans="1:45" x14ac:dyDescent="0.3">
      <c r="A47" s="120" t="s">
        <v>47</v>
      </c>
      <c r="B47" s="70"/>
      <c r="C47" s="153"/>
      <c r="D47" s="66"/>
      <c r="E47" s="64"/>
      <c r="F47" s="67"/>
      <c r="G47" s="66"/>
      <c r="H47" s="184"/>
      <c r="I47" s="191"/>
      <c r="J47" s="203"/>
      <c r="K47" s="68"/>
      <c r="L47" s="184"/>
      <c r="M47" s="197">
        <v>36992000</v>
      </c>
      <c r="N47" s="68"/>
      <c r="O47" s="68"/>
      <c r="P47" s="64">
        <v>2142905000</v>
      </c>
      <c r="Q47" s="170"/>
      <c r="R47" s="166">
        <f t="shared" si="7"/>
        <v>57.928876513840834</v>
      </c>
      <c r="S47" s="55"/>
      <c r="T47" s="55"/>
      <c r="U47" s="55"/>
      <c r="V47" s="55"/>
      <c r="W47" s="55"/>
      <c r="X47" s="55"/>
      <c r="Y47" s="55"/>
      <c r="Z47" s="55"/>
      <c r="AA47" s="55"/>
      <c r="AB47" s="55"/>
      <c r="AC47" s="55"/>
      <c r="AD47" s="55"/>
      <c r="AE47" s="55"/>
      <c r="AF47" s="55"/>
    </row>
    <row r="48" spans="1:45" x14ac:dyDescent="0.3">
      <c r="A48" s="120" t="s">
        <v>48</v>
      </c>
      <c r="B48" s="70"/>
      <c r="C48" s="153"/>
      <c r="D48" s="66"/>
      <c r="E48" s="64"/>
      <c r="F48" s="67"/>
      <c r="G48" s="66"/>
      <c r="H48" s="184"/>
      <c r="I48" s="191"/>
      <c r="J48" s="203"/>
      <c r="K48" s="68"/>
      <c r="L48" s="184"/>
      <c r="M48" s="197">
        <v>37802000</v>
      </c>
      <c r="N48" s="68"/>
      <c r="O48" s="68"/>
      <c r="P48" s="64">
        <v>2132378000</v>
      </c>
      <c r="Q48" s="170"/>
      <c r="R48" s="166">
        <f t="shared" si="7"/>
        <v>56.409131791968676</v>
      </c>
      <c r="S48" s="55"/>
      <c r="T48" s="55"/>
      <c r="U48" s="55"/>
      <c r="V48" s="55"/>
      <c r="W48" s="55"/>
      <c r="X48" s="55"/>
      <c r="Y48" s="55"/>
      <c r="Z48" s="55"/>
      <c r="AA48" s="55"/>
      <c r="AB48" s="55"/>
      <c r="AC48" s="55"/>
      <c r="AD48" s="55"/>
      <c r="AE48" s="55"/>
      <c r="AF48" s="55"/>
    </row>
    <row r="49" spans="1:45" x14ac:dyDescent="0.3">
      <c r="A49" s="120" t="s">
        <v>109</v>
      </c>
      <c r="B49" s="70"/>
      <c r="C49" s="153"/>
      <c r="D49" s="66"/>
      <c r="E49" s="64"/>
      <c r="F49" s="67"/>
      <c r="G49" s="66"/>
      <c r="H49" s="184"/>
      <c r="I49" s="191"/>
      <c r="J49" s="203"/>
      <c r="K49" s="68"/>
      <c r="L49" s="184"/>
      <c r="M49" s="197">
        <v>38631000</v>
      </c>
      <c r="N49" s="68"/>
      <c r="O49" s="68"/>
      <c r="P49" s="64">
        <v>2259101000</v>
      </c>
      <c r="Q49" s="170"/>
      <c r="R49" s="166">
        <f t="shared" si="7"/>
        <v>58.478967668452796</v>
      </c>
      <c r="S49" s="55"/>
      <c r="T49" s="55"/>
      <c r="U49" s="55"/>
      <c r="V49" s="55"/>
      <c r="W49" s="55"/>
      <c r="X49" s="55"/>
      <c r="Y49" s="55"/>
      <c r="Z49" s="55"/>
      <c r="AA49" s="55"/>
      <c r="AB49" s="55"/>
      <c r="AC49" s="55"/>
      <c r="AD49" s="55"/>
      <c r="AE49" s="55"/>
      <c r="AF49" s="55"/>
    </row>
    <row r="50" spans="1:45" x14ac:dyDescent="0.3">
      <c r="A50" s="120" t="s">
        <v>110</v>
      </c>
      <c r="B50" s="70"/>
      <c r="C50" s="153"/>
      <c r="D50" s="66"/>
      <c r="E50" s="64"/>
      <c r="F50" s="67"/>
      <c r="G50" s="66"/>
      <c r="H50" s="184"/>
      <c r="I50" s="191"/>
      <c r="J50" s="203"/>
      <c r="K50" s="68"/>
      <c r="L50" s="184"/>
      <c r="M50" s="197">
        <v>39477000</v>
      </c>
      <c r="N50" s="68"/>
      <c r="O50" s="68"/>
      <c r="P50" s="64">
        <v>2353056000</v>
      </c>
      <c r="Q50" s="170"/>
      <c r="R50" s="166">
        <f t="shared" si="7"/>
        <v>59.605745117410137</v>
      </c>
      <c r="S50" s="55"/>
      <c r="T50" s="55"/>
      <c r="U50" s="55"/>
      <c r="V50" s="55"/>
      <c r="W50" s="55"/>
      <c r="X50" s="55"/>
      <c r="Y50" s="55"/>
      <c r="Z50" s="55"/>
      <c r="AA50" s="55"/>
      <c r="AB50" s="55"/>
      <c r="AC50" s="55"/>
      <c r="AD50" s="55"/>
      <c r="AE50" s="55"/>
      <c r="AF50" s="55"/>
    </row>
    <row r="51" spans="1:45" x14ac:dyDescent="0.3">
      <c r="A51" s="120" t="s">
        <v>111</v>
      </c>
      <c r="B51" s="70"/>
      <c r="C51" s="153"/>
      <c r="D51" s="66"/>
      <c r="E51" s="64"/>
      <c r="F51" s="67"/>
      <c r="G51" s="66"/>
      <c r="H51" s="184"/>
      <c r="I51" s="191"/>
      <c r="J51" s="203"/>
      <c r="K51" s="68"/>
      <c r="L51" s="184"/>
      <c r="M51" s="197">
        <v>40584000</v>
      </c>
      <c r="N51" s="68"/>
      <c r="O51" s="68"/>
      <c r="P51" s="64">
        <v>2418665000</v>
      </c>
      <c r="Q51" s="170"/>
      <c r="R51" s="166">
        <f t="shared" si="7"/>
        <v>59.596515868322491</v>
      </c>
      <c r="S51" s="55"/>
      <c r="T51" s="55"/>
      <c r="U51" s="55"/>
      <c r="V51" s="55"/>
      <c r="W51" s="55"/>
      <c r="X51" s="55"/>
      <c r="Y51" s="55"/>
      <c r="Z51" s="55"/>
      <c r="AA51" s="55"/>
      <c r="AB51" s="55"/>
      <c r="AC51" s="55"/>
      <c r="AD51" s="55"/>
      <c r="AE51" s="55"/>
      <c r="AF51" s="55"/>
    </row>
    <row r="52" spans="1:45" x14ac:dyDescent="0.3">
      <c r="A52" s="120" t="s">
        <v>112</v>
      </c>
      <c r="B52" s="70"/>
      <c r="C52" s="153"/>
      <c r="D52" s="66"/>
      <c r="E52" s="64"/>
      <c r="F52" s="67"/>
      <c r="G52" s="66"/>
      <c r="H52" s="184"/>
      <c r="I52" s="191"/>
      <c r="J52" s="203"/>
      <c r="K52" s="68"/>
      <c r="L52" s="184"/>
      <c r="M52" s="197">
        <v>41227000</v>
      </c>
      <c r="N52" s="68"/>
      <c r="O52" s="68"/>
      <c r="P52" s="64">
        <v>2564600000</v>
      </c>
      <c r="Q52" s="170"/>
      <c r="R52" s="166">
        <f t="shared" si="7"/>
        <v>62.206806219225264</v>
      </c>
      <c r="S52" s="55"/>
      <c r="T52" s="55"/>
      <c r="U52" s="55"/>
      <c r="V52" s="55"/>
      <c r="W52" s="55"/>
      <c r="X52" s="55"/>
      <c r="Y52" s="55"/>
      <c r="Z52" s="55"/>
      <c r="AA52" s="55"/>
      <c r="AB52" s="55"/>
      <c r="AC52" s="55"/>
      <c r="AD52" s="55"/>
      <c r="AE52" s="55"/>
      <c r="AF52" s="55"/>
    </row>
    <row r="53" spans="1:45" x14ac:dyDescent="0.3">
      <c r="A53" s="120" t="s">
        <v>113</v>
      </c>
      <c r="B53" s="70"/>
      <c r="C53" s="153"/>
      <c r="D53" s="66"/>
      <c r="E53" s="64"/>
      <c r="F53" s="67"/>
      <c r="G53" s="66"/>
      <c r="H53" s="184"/>
      <c r="I53" s="191"/>
      <c r="J53" s="203"/>
      <c r="K53" s="68"/>
      <c r="L53" s="184"/>
      <c r="M53" s="197">
        <v>42131000</v>
      </c>
      <c r="N53" s="68"/>
      <c r="O53" s="68"/>
      <c r="P53" s="64">
        <v>2181000000</v>
      </c>
      <c r="Q53" s="170"/>
      <c r="R53" s="166">
        <f t="shared" si="7"/>
        <v>51.767107355628873</v>
      </c>
      <c r="S53" s="55"/>
      <c r="T53" s="55"/>
      <c r="U53" s="55"/>
      <c r="V53" s="55"/>
      <c r="W53" s="55"/>
      <c r="X53" s="55"/>
      <c r="Y53" s="55"/>
      <c r="Z53" s="55"/>
      <c r="AA53" s="55"/>
      <c r="AB53" s="55"/>
      <c r="AC53" s="55"/>
      <c r="AD53" s="55"/>
      <c r="AE53" s="55"/>
      <c r="AF53" s="55"/>
    </row>
    <row r="54" spans="1:45" x14ac:dyDescent="0.3">
      <c r="A54" s="120" t="s">
        <v>114</v>
      </c>
      <c r="B54" s="70"/>
      <c r="C54" s="153"/>
      <c r="D54" s="66"/>
      <c r="E54" s="64"/>
      <c r="F54" s="67"/>
      <c r="G54" s="66"/>
      <c r="H54" s="184"/>
      <c r="I54" s="191"/>
      <c r="J54" s="203"/>
      <c r="K54" s="68"/>
      <c r="L54" s="184"/>
      <c r="M54" s="197">
        <v>43054000</v>
      </c>
      <c r="N54" s="68"/>
      <c r="O54" s="68"/>
      <c r="P54" s="64">
        <v>2400000000</v>
      </c>
      <c r="Q54" s="170"/>
      <c r="R54" s="166">
        <f t="shared" si="7"/>
        <v>55.743949458819159</v>
      </c>
      <c r="S54" s="55"/>
      <c r="T54" s="55"/>
      <c r="U54" s="55"/>
      <c r="V54" s="55"/>
      <c r="W54" s="55"/>
      <c r="X54" s="55"/>
      <c r="Y54" s="55"/>
      <c r="Z54" s="55"/>
      <c r="AA54" s="55"/>
      <c r="AB54" s="55"/>
      <c r="AC54" s="55"/>
      <c r="AD54" s="55"/>
      <c r="AE54" s="55"/>
      <c r="AF54" s="55"/>
    </row>
    <row r="55" spans="1:45" s="62" customFormat="1" x14ac:dyDescent="0.3">
      <c r="A55" s="160" t="s">
        <v>115</v>
      </c>
      <c r="B55" s="161"/>
      <c r="C55" s="213"/>
      <c r="D55" s="66"/>
      <c r="E55" s="163"/>
      <c r="F55" s="164"/>
      <c r="G55" s="66"/>
      <c r="H55" s="140"/>
      <c r="I55" s="192"/>
      <c r="J55" s="204"/>
      <c r="K55" s="165"/>
      <c r="L55" s="140"/>
      <c r="M55" s="162">
        <v>43686000</v>
      </c>
      <c r="N55" s="165"/>
      <c r="O55" s="165"/>
      <c r="P55" s="163">
        <v>2371000000</v>
      </c>
      <c r="Q55" s="171"/>
      <c r="R55" s="166">
        <f t="shared" si="7"/>
        <v>54.273680355262556</v>
      </c>
      <c r="S55" s="55"/>
      <c r="T55" s="55"/>
      <c r="U55" s="55"/>
      <c r="V55" s="55"/>
      <c r="W55" s="55"/>
      <c r="X55" s="55"/>
      <c r="Y55" s="55"/>
      <c r="Z55" s="55"/>
      <c r="AA55" s="55"/>
      <c r="AB55" s="55"/>
      <c r="AC55" s="55"/>
      <c r="AD55" s="55"/>
      <c r="AE55" s="55"/>
      <c r="AF55" s="55"/>
      <c r="AS55" s="56"/>
    </row>
    <row r="56" spans="1:45" x14ac:dyDescent="0.3">
      <c r="A56" s="121" t="s">
        <v>116</v>
      </c>
      <c r="B56" s="70"/>
      <c r="C56" s="153"/>
      <c r="D56" s="66"/>
      <c r="E56" s="64"/>
      <c r="F56" s="67"/>
      <c r="G56" s="66"/>
      <c r="H56" s="184"/>
      <c r="I56" s="191"/>
      <c r="J56" s="203"/>
      <c r="K56" s="68"/>
      <c r="L56" s="184"/>
      <c r="M56" s="197">
        <v>44561000</v>
      </c>
      <c r="N56" s="68"/>
      <c r="O56" s="68"/>
      <c r="P56" s="64">
        <v>2427000000</v>
      </c>
      <c r="Q56" s="170"/>
      <c r="R56" s="166">
        <f t="shared" si="7"/>
        <v>54.464666412333656</v>
      </c>
      <c r="S56" s="55"/>
      <c r="T56" s="55"/>
      <c r="U56" s="55"/>
      <c r="V56" s="55"/>
      <c r="W56" s="55"/>
      <c r="X56" s="55"/>
      <c r="Y56" s="55"/>
      <c r="Z56" s="55"/>
      <c r="AA56" s="55"/>
      <c r="AB56" s="55"/>
      <c r="AC56" s="55"/>
      <c r="AD56" s="55"/>
      <c r="AE56" s="55"/>
      <c r="AF56" s="55"/>
      <c r="AR56" s="52">
        <f>L42-L71</f>
        <v>202360343.95555568</v>
      </c>
    </row>
    <row r="57" spans="1:45" x14ac:dyDescent="0.3">
      <c r="A57" s="121" t="s">
        <v>117</v>
      </c>
      <c r="B57" s="70"/>
      <c r="C57" s="153"/>
      <c r="D57" s="66"/>
      <c r="E57" s="64"/>
      <c r="F57" s="67"/>
      <c r="G57" s="66"/>
      <c r="H57" s="184"/>
      <c r="I57" s="191"/>
      <c r="J57" s="203"/>
      <c r="K57" s="68"/>
      <c r="L57" s="184"/>
      <c r="M57" s="197">
        <v>45454000</v>
      </c>
      <c r="N57" s="68"/>
      <c r="O57" s="68"/>
      <c r="P57" s="64">
        <v>2541000000</v>
      </c>
      <c r="Q57" s="170"/>
      <c r="R57" s="166">
        <f t="shared" si="7"/>
        <v>55.902670832049985</v>
      </c>
      <c r="S57" s="55"/>
      <c r="T57" s="55"/>
      <c r="U57" s="55"/>
      <c r="V57" s="55"/>
      <c r="W57" s="55"/>
      <c r="X57" s="55"/>
      <c r="Y57" s="55"/>
      <c r="Z57" s="55"/>
      <c r="AA57" s="55"/>
      <c r="AB57" s="55"/>
      <c r="AC57" s="55"/>
      <c r="AD57" s="55"/>
      <c r="AE57" s="55"/>
      <c r="AF57" s="55"/>
    </row>
    <row r="58" spans="1:45" x14ac:dyDescent="0.3">
      <c r="A58" s="121" t="s">
        <v>118</v>
      </c>
      <c r="B58" s="70"/>
      <c r="C58" s="153"/>
      <c r="D58" s="66"/>
      <c r="E58" s="64"/>
      <c r="F58" s="67"/>
      <c r="G58" s="66"/>
      <c r="H58" s="184"/>
      <c r="I58" s="191"/>
      <c r="J58" s="203"/>
      <c r="K58" s="68"/>
      <c r="L58" s="184"/>
      <c r="M58" s="197">
        <v>46429000</v>
      </c>
      <c r="N58" s="68"/>
      <c r="O58" s="68"/>
      <c r="P58" s="64">
        <v>2577000000</v>
      </c>
      <c r="Q58" s="170"/>
      <c r="R58" s="166">
        <f t="shared" si="7"/>
        <v>55.504103039048871</v>
      </c>
      <c r="S58" s="55"/>
      <c r="T58" s="55"/>
      <c r="U58" s="55"/>
      <c r="V58" s="55"/>
      <c r="W58" s="55"/>
      <c r="X58" s="55"/>
      <c r="Y58" s="55"/>
      <c r="Z58" s="55"/>
      <c r="AA58" s="55"/>
      <c r="AB58" s="55"/>
      <c r="AC58" s="55"/>
      <c r="AD58" s="55"/>
      <c r="AE58" s="55"/>
      <c r="AF58" s="55"/>
    </row>
    <row r="59" spans="1:45" x14ac:dyDescent="0.3">
      <c r="A59" s="121" t="s">
        <v>119</v>
      </c>
      <c r="B59" s="70"/>
      <c r="C59" s="153"/>
      <c r="D59" s="66"/>
      <c r="E59" s="64"/>
      <c r="F59" s="67"/>
      <c r="G59" s="66"/>
      <c r="H59" s="184"/>
      <c r="I59" s="191"/>
      <c r="J59" s="203"/>
      <c r="K59" s="68"/>
      <c r="L59" s="184"/>
      <c r="M59" s="197">
        <v>46586000</v>
      </c>
      <c r="N59" s="68"/>
      <c r="O59" s="68"/>
      <c r="P59" s="64">
        <v>2653000000</v>
      </c>
      <c r="Q59" s="170"/>
      <c r="R59" s="166">
        <f t="shared" si="7"/>
        <v>56.948439445326919</v>
      </c>
      <c r="S59" s="55"/>
      <c r="T59" s="55"/>
      <c r="U59" s="55"/>
      <c r="V59" s="55"/>
      <c r="W59" s="55"/>
      <c r="X59" s="55"/>
      <c r="Y59" s="55"/>
      <c r="Z59" s="55"/>
      <c r="AA59" s="55"/>
      <c r="AB59" s="55"/>
      <c r="AC59" s="55"/>
      <c r="AD59" s="55"/>
      <c r="AE59" s="55"/>
      <c r="AF59" s="55"/>
    </row>
    <row r="60" spans="1:45" x14ac:dyDescent="0.3">
      <c r="A60" s="121" t="s">
        <v>120</v>
      </c>
      <c r="B60" s="70"/>
      <c r="C60" s="153"/>
      <c r="D60" s="66"/>
      <c r="E60" s="64"/>
      <c r="F60" s="67"/>
      <c r="G60" s="66"/>
      <c r="H60" s="184"/>
      <c r="I60" s="191"/>
      <c r="J60" s="203"/>
      <c r="K60" s="68"/>
      <c r="L60" s="184"/>
      <c r="M60" s="197">
        <v>46888000</v>
      </c>
      <c r="N60" s="68"/>
      <c r="O60" s="68"/>
      <c r="P60" s="64">
        <v>2736000000</v>
      </c>
      <c r="Q60" s="170"/>
      <c r="R60" s="166">
        <f t="shared" si="7"/>
        <v>58.351817096058696</v>
      </c>
      <c r="S60" s="55"/>
      <c r="T60" s="55"/>
      <c r="U60" s="55"/>
      <c r="V60" s="55"/>
      <c r="W60" s="55"/>
      <c r="X60" s="55"/>
      <c r="Y60" s="55"/>
      <c r="Z60" s="55"/>
      <c r="AA60" s="55"/>
      <c r="AB60" s="55"/>
      <c r="AC60" s="55"/>
      <c r="AD60" s="55"/>
      <c r="AE60" s="55"/>
      <c r="AF60" s="55"/>
    </row>
    <row r="61" spans="1:45" x14ac:dyDescent="0.3">
      <c r="A61" s="121" t="s">
        <v>121</v>
      </c>
      <c r="B61" s="70"/>
      <c r="C61" s="153"/>
      <c r="D61" s="66"/>
      <c r="E61" s="64"/>
      <c r="F61" s="67"/>
      <c r="G61" s="66"/>
      <c r="H61" s="184"/>
      <c r="I61" s="191"/>
      <c r="J61" s="203"/>
      <c r="K61" s="68"/>
      <c r="L61" s="184"/>
      <c r="M61" s="197">
        <v>47391000</v>
      </c>
      <c r="N61" s="68"/>
      <c r="O61" s="68"/>
      <c r="P61" s="64">
        <v>2793000000</v>
      </c>
      <c r="Q61" s="170"/>
      <c r="R61" s="166">
        <f t="shared" si="7"/>
        <v>58.935240868519337</v>
      </c>
      <c r="S61" s="55"/>
      <c r="T61" s="55"/>
      <c r="U61" s="55"/>
      <c r="V61" s="55"/>
      <c r="W61" s="55"/>
      <c r="X61" s="55"/>
      <c r="Y61" s="55"/>
      <c r="Z61" s="55"/>
      <c r="AA61" s="55"/>
      <c r="AB61" s="55"/>
      <c r="AC61" s="55"/>
      <c r="AD61" s="55"/>
      <c r="AE61" s="55"/>
      <c r="AF61" s="55"/>
    </row>
    <row r="62" spans="1:45" x14ac:dyDescent="0.3">
      <c r="A62" s="121" t="s">
        <v>122</v>
      </c>
      <c r="B62" s="70"/>
      <c r="C62" s="153"/>
      <c r="D62" s="66"/>
      <c r="E62" s="64"/>
      <c r="F62" s="67"/>
      <c r="G62" s="66"/>
      <c r="H62" s="184"/>
      <c r="I62" s="191"/>
      <c r="J62" s="203"/>
      <c r="K62" s="68"/>
      <c r="L62" s="184"/>
      <c r="M62" s="197">
        <v>47851000</v>
      </c>
      <c r="N62" s="68"/>
      <c r="O62" s="68"/>
      <c r="P62" s="64">
        <v>2820000000</v>
      </c>
      <c r="Q62" s="170"/>
      <c r="R62" s="166">
        <f t="shared" si="7"/>
        <v>58.93293766065495</v>
      </c>
      <c r="S62" s="55"/>
      <c r="T62" s="55"/>
      <c r="U62" s="55"/>
      <c r="V62" s="55"/>
      <c r="W62" s="55"/>
      <c r="X62" s="55"/>
      <c r="Y62" s="55"/>
      <c r="Z62" s="55"/>
      <c r="AA62" s="55"/>
      <c r="AB62" s="55"/>
      <c r="AC62" s="55"/>
      <c r="AD62" s="55"/>
      <c r="AE62" s="55"/>
      <c r="AF62" s="55"/>
    </row>
    <row r="63" spans="1:45" x14ac:dyDescent="0.3">
      <c r="A63" s="121" t="s">
        <v>123</v>
      </c>
      <c r="B63" s="70"/>
      <c r="C63" s="153"/>
      <c r="D63" s="66"/>
      <c r="E63" s="64"/>
      <c r="F63" s="67"/>
      <c r="G63" s="66"/>
      <c r="H63" s="184"/>
      <c r="I63" s="191"/>
      <c r="J63" s="203"/>
      <c r="K63" s="68"/>
      <c r="L63" s="184"/>
      <c r="M63" s="197">
        <v>48687000</v>
      </c>
      <c r="N63" s="68"/>
      <c r="O63" s="68"/>
      <c r="P63" s="64">
        <v>2845000000</v>
      </c>
      <c r="Q63" s="170"/>
      <c r="R63" s="166">
        <f t="shared" si="7"/>
        <v>58.434489699509108</v>
      </c>
      <c r="S63" s="55"/>
      <c r="T63" s="55"/>
      <c r="U63" s="55"/>
      <c r="V63" s="55"/>
      <c r="W63" s="55"/>
      <c r="X63" s="55"/>
      <c r="Y63" s="55"/>
      <c r="Z63" s="55"/>
      <c r="AA63" s="55"/>
      <c r="AB63" s="55"/>
      <c r="AC63" s="55"/>
      <c r="AD63" s="55"/>
      <c r="AE63" s="55"/>
      <c r="AF63" s="55"/>
    </row>
    <row r="64" spans="1:45" x14ac:dyDescent="0.3">
      <c r="A64" s="121" t="s">
        <v>124</v>
      </c>
      <c r="B64" s="70"/>
      <c r="C64" s="153"/>
      <c r="D64" s="66"/>
      <c r="E64" s="64"/>
      <c r="F64" s="67"/>
      <c r="G64" s="66"/>
      <c r="H64" s="184"/>
      <c r="I64" s="191"/>
      <c r="J64" s="203"/>
      <c r="K64" s="68"/>
      <c r="L64" s="184"/>
      <c r="M64" s="197">
        <v>49321000</v>
      </c>
      <c r="N64" s="68"/>
      <c r="O64" s="68"/>
      <c r="P64" s="64">
        <v>2857000000</v>
      </c>
      <c r="Q64" s="170"/>
      <c r="R64" s="166">
        <f t="shared" si="7"/>
        <v>57.926643823117942</v>
      </c>
      <c r="S64" s="55"/>
      <c r="T64" s="55"/>
      <c r="U64" s="55"/>
      <c r="V64" s="55"/>
      <c r="W64" s="55"/>
      <c r="X64" s="55"/>
      <c r="Y64" s="55"/>
      <c r="Z64" s="55"/>
      <c r="AA64" s="55"/>
      <c r="AB64" s="55"/>
      <c r="AC64" s="55"/>
      <c r="AD64" s="55"/>
      <c r="AE64" s="55"/>
      <c r="AF64" s="55"/>
    </row>
    <row r="65" spans="1:32" x14ac:dyDescent="0.3">
      <c r="A65" s="121" t="s">
        <v>125</v>
      </c>
      <c r="B65" s="70"/>
      <c r="C65" s="153"/>
      <c r="D65" s="66"/>
      <c r="E65" s="64"/>
      <c r="F65" s="67"/>
      <c r="G65" s="66"/>
      <c r="H65" s="184"/>
      <c r="I65" s="191"/>
      <c r="J65" s="203"/>
      <c r="K65" s="68"/>
      <c r="L65" s="184"/>
      <c r="M65" s="197">
        <v>49991000</v>
      </c>
      <c r="N65" s="68"/>
      <c r="O65" s="68"/>
      <c r="P65" s="64">
        <v>3017000000</v>
      </c>
      <c r="Q65" s="170"/>
      <c r="R65" s="166">
        <f t="shared" si="7"/>
        <v>60.350863155367968</v>
      </c>
      <c r="S65" s="55"/>
      <c r="T65" s="55"/>
      <c r="U65" s="55"/>
      <c r="V65" s="55"/>
      <c r="W65" s="55"/>
      <c r="X65" s="55"/>
      <c r="Y65" s="55"/>
      <c r="Z65" s="55"/>
      <c r="AA65" s="55"/>
      <c r="AB65" s="55"/>
      <c r="AC65" s="55"/>
      <c r="AD65" s="55"/>
      <c r="AE65" s="55"/>
      <c r="AF65" s="55"/>
    </row>
    <row r="66" spans="1:32" x14ac:dyDescent="0.3">
      <c r="A66" s="121" t="s">
        <v>126</v>
      </c>
      <c r="B66" s="70"/>
      <c r="C66" s="153"/>
      <c r="D66" s="66"/>
      <c r="E66" s="64"/>
      <c r="F66" s="67"/>
      <c r="G66" s="66"/>
      <c r="H66" s="184"/>
      <c r="I66" s="191"/>
      <c r="J66" s="203"/>
      <c r="K66" s="68"/>
      <c r="L66" s="184"/>
      <c r="M66" s="197">
        <v>50587000</v>
      </c>
      <c r="N66" s="68"/>
      <c r="O66" s="68"/>
      <c r="P66" s="64">
        <v>2945000000</v>
      </c>
      <c r="Q66" s="170"/>
      <c r="R66" s="166">
        <f t="shared" si="7"/>
        <v>58.216537845691583</v>
      </c>
      <c r="S66" s="55"/>
      <c r="T66" s="55"/>
      <c r="U66" s="55"/>
      <c r="V66" s="55"/>
      <c r="W66" s="55"/>
      <c r="X66" s="55"/>
      <c r="Y66" s="55"/>
      <c r="Z66" s="55"/>
      <c r="AA66" s="55"/>
      <c r="AB66" s="55"/>
      <c r="AC66" s="55"/>
      <c r="AD66" s="55"/>
      <c r="AE66" s="55"/>
      <c r="AF66" s="55"/>
    </row>
    <row r="67" spans="1:32" x14ac:dyDescent="0.3">
      <c r="A67" s="121" t="s">
        <v>127</v>
      </c>
      <c r="B67" s="70"/>
      <c r="C67" s="153"/>
      <c r="D67" s="66"/>
      <c r="E67" s="64"/>
      <c r="F67" s="67"/>
      <c r="G67" s="66"/>
      <c r="H67" s="184"/>
      <c r="I67" s="191"/>
      <c r="J67" s="203"/>
      <c r="K67" s="68"/>
      <c r="L67" s="184"/>
      <c r="M67" s="66">
        <v>51771000</v>
      </c>
      <c r="N67" s="68"/>
      <c r="O67" s="68"/>
      <c r="P67" s="64">
        <v>3202000000</v>
      </c>
      <c r="Q67" s="170"/>
      <c r="R67" s="166">
        <f t="shared" si="7"/>
        <v>61.849297869463598</v>
      </c>
      <c r="S67" s="55"/>
      <c r="T67" s="55"/>
      <c r="U67" s="55"/>
      <c r="V67" s="55"/>
      <c r="W67" s="55"/>
      <c r="X67" s="55"/>
      <c r="Y67" s="55"/>
      <c r="Z67" s="55"/>
      <c r="AA67" s="55"/>
      <c r="AB67" s="55"/>
      <c r="AC67" s="55"/>
      <c r="AD67" s="55"/>
      <c r="AE67" s="55"/>
      <c r="AF67" s="55"/>
    </row>
    <row r="68" spans="1:32" x14ac:dyDescent="0.3">
      <c r="A68" s="121" t="s">
        <v>128</v>
      </c>
      <c r="B68" s="70"/>
      <c r="C68" s="153"/>
      <c r="D68" s="66"/>
      <c r="E68" s="64"/>
      <c r="F68" s="67"/>
      <c r="G68" s="66"/>
      <c r="H68" s="184"/>
      <c r="I68" s="191"/>
      <c r="J68" s="203"/>
      <c r="K68" s="68"/>
      <c r="L68" s="184"/>
      <c r="M68" s="197">
        <v>52982000</v>
      </c>
      <c r="N68" s="68"/>
      <c r="O68" s="68"/>
      <c r="P68" s="64">
        <v>3040086000</v>
      </c>
      <c r="Q68" s="170"/>
      <c r="R68" s="166">
        <f t="shared" si="7"/>
        <v>57.379600619078175</v>
      </c>
      <c r="S68" s="55"/>
      <c r="T68" s="55"/>
      <c r="U68" s="55"/>
      <c r="V68" s="55"/>
      <c r="W68" s="55"/>
      <c r="X68" s="55"/>
      <c r="Y68" s="55"/>
      <c r="Z68" s="55"/>
      <c r="AA68" s="55"/>
      <c r="AB68" s="55"/>
      <c r="AC68" s="55"/>
      <c r="AD68" s="55"/>
      <c r="AE68" s="55"/>
      <c r="AF68" s="55"/>
    </row>
    <row r="69" spans="1:32" x14ac:dyDescent="0.3">
      <c r="A69" s="121" t="s">
        <v>129</v>
      </c>
      <c r="B69" s="70"/>
      <c r="C69" s="153"/>
      <c r="D69" s="66"/>
      <c r="E69" s="64"/>
      <c r="F69" s="67"/>
      <c r="G69" s="66"/>
      <c r="H69" s="184"/>
      <c r="I69" s="191"/>
      <c r="J69" s="203"/>
      <c r="K69" s="68"/>
      <c r="L69" s="184"/>
      <c r="M69" s="197">
        <v>54002000</v>
      </c>
      <c r="N69" s="68"/>
      <c r="O69" s="68"/>
      <c r="P69" s="64">
        <v>3175834000</v>
      </c>
      <c r="Q69" s="170"/>
      <c r="R69" s="166">
        <f t="shared" ref="R69:R73" si="19">P69/M69</f>
        <v>58.80956260879227</v>
      </c>
      <c r="S69" s="55"/>
      <c r="T69" s="55"/>
      <c r="U69" s="55"/>
      <c r="V69" s="55"/>
      <c r="W69" s="55"/>
      <c r="X69" s="55"/>
      <c r="Y69" s="55"/>
      <c r="Z69" s="55"/>
      <c r="AA69" s="55"/>
      <c r="AB69" s="55"/>
      <c r="AC69" s="55"/>
      <c r="AD69" s="55"/>
      <c r="AE69" s="55"/>
      <c r="AF69" s="55"/>
    </row>
    <row r="70" spans="1:32" ht="17.25" thickBot="1" x14ac:dyDescent="0.35">
      <c r="A70" s="127" t="s">
        <v>130</v>
      </c>
      <c r="B70" s="128"/>
      <c r="C70" s="157"/>
      <c r="D70" s="129"/>
      <c r="E70" s="130"/>
      <c r="F70" s="131"/>
      <c r="G70" s="129"/>
      <c r="H70" s="185"/>
      <c r="I70" s="193"/>
      <c r="J70" s="205"/>
      <c r="K70" s="132"/>
      <c r="L70" s="185"/>
      <c r="M70" s="236">
        <v>54957000</v>
      </c>
      <c r="N70" s="132"/>
      <c r="O70" s="132"/>
      <c r="P70" s="130">
        <v>3112718000</v>
      </c>
      <c r="Q70" s="172"/>
      <c r="R70" s="175">
        <f t="shared" si="19"/>
        <v>56.639154247866514</v>
      </c>
      <c r="S70" s="55"/>
      <c r="T70" s="55"/>
      <c r="U70" s="55"/>
      <c r="V70" s="55"/>
      <c r="W70" s="55"/>
      <c r="X70" s="55"/>
      <c r="Y70" s="55"/>
      <c r="Z70" s="55"/>
      <c r="AA70" s="55"/>
      <c r="AB70" s="55"/>
      <c r="AC70" s="55"/>
      <c r="AD70" s="55"/>
      <c r="AE70" s="55"/>
      <c r="AF70" s="55"/>
    </row>
    <row r="71" spans="1:32" ht="17.25" thickTop="1" x14ac:dyDescent="0.3">
      <c r="A71" s="125" t="s">
        <v>88</v>
      </c>
      <c r="B71" s="126"/>
      <c r="C71" s="214"/>
      <c r="D71" s="103">
        <f>AH16+AH37</f>
        <v>1029439287</v>
      </c>
      <c r="E71" s="102"/>
      <c r="F71" s="104"/>
      <c r="G71" s="103">
        <f>AH23+AH30</f>
        <v>1038545855</v>
      </c>
      <c r="H71" s="186">
        <f>SUM(D71:G71)</f>
        <v>2067985142</v>
      </c>
      <c r="I71" s="194" t="s">
        <v>137</v>
      </c>
      <c r="J71" s="206">
        <f>AI16+AI37</f>
        <v>703632940.89999986</v>
      </c>
      <c r="K71" s="105">
        <f>AI23+AI30</f>
        <v>713825270.69999993</v>
      </c>
      <c r="L71" s="186">
        <f>AI39</f>
        <v>1417458211.5999999</v>
      </c>
      <c r="M71" s="237">
        <v>55909000</v>
      </c>
      <c r="N71" s="105">
        <f>H71/M71</f>
        <v>36.988412277093133</v>
      </c>
      <c r="O71" s="105">
        <f>L71/M71</f>
        <v>25.352952326101342</v>
      </c>
      <c r="P71" s="102">
        <v>3144414000</v>
      </c>
      <c r="Q71" s="173">
        <f>L71/P71*100</f>
        <v>45.078612790809345</v>
      </c>
      <c r="R71" s="174">
        <f>P71/M71</f>
        <v>56.241642669337672</v>
      </c>
      <c r="S71" s="55"/>
      <c r="T71" s="55"/>
      <c r="U71" s="55"/>
      <c r="V71" s="55"/>
      <c r="W71" s="55"/>
      <c r="X71" s="55"/>
      <c r="Y71" s="55"/>
      <c r="Z71" s="55"/>
      <c r="AA71" s="55"/>
      <c r="AB71" s="55"/>
      <c r="AC71" s="55"/>
      <c r="AD71" s="55"/>
      <c r="AE71" s="55"/>
      <c r="AF71" s="55"/>
    </row>
    <row r="72" spans="1:32" x14ac:dyDescent="0.3">
      <c r="A72" s="224" t="s">
        <v>89</v>
      </c>
      <c r="B72" s="225"/>
      <c r="C72" s="226"/>
      <c r="D72" s="227">
        <f>AJ16+AJ37</f>
        <v>1045985982</v>
      </c>
      <c r="E72" s="228"/>
      <c r="F72" s="229"/>
      <c r="G72" s="227">
        <f>AJ23+AJ30</f>
        <v>1089712059</v>
      </c>
      <c r="H72" s="230">
        <f>SUM(D72:G72)</f>
        <v>2135698041</v>
      </c>
      <c r="I72" s="231"/>
      <c r="J72" s="232">
        <f>AK16+AK37</f>
        <v>714054867</v>
      </c>
      <c r="K72" s="233">
        <f>AK23+AK30</f>
        <v>746612560.69999993</v>
      </c>
      <c r="L72" s="230">
        <f>AK39</f>
        <v>1460667427.6999998</v>
      </c>
      <c r="M72" s="227">
        <v>56522000</v>
      </c>
      <c r="N72" s="233">
        <f>H72/M72</f>
        <v>37.785252485757759</v>
      </c>
      <c r="O72" s="233">
        <f>L72/M72</f>
        <v>25.842458294115563</v>
      </c>
      <c r="P72" s="228">
        <v>3163196000</v>
      </c>
      <c r="Q72" s="234">
        <f>L72/P72*100</f>
        <v>46.176949759041165</v>
      </c>
      <c r="R72" s="235">
        <f t="shared" si="19"/>
        <v>55.963978627790951</v>
      </c>
      <c r="S72" s="55"/>
      <c r="T72" s="55"/>
      <c r="U72" s="55"/>
      <c r="V72" s="55"/>
      <c r="W72" s="55"/>
      <c r="X72" s="55"/>
      <c r="Y72" s="55"/>
      <c r="Z72" s="55"/>
      <c r="AA72" s="55"/>
      <c r="AB72" s="55"/>
      <c r="AC72" s="55"/>
      <c r="AD72" s="55"/>
      <c r="AE72" s="55">
        <f>K72-J72</f>
        <v>32557693.699999928</v>
      </c>
      <c r="AF72" s="55"/>
    </row>
    <row r="73" spans="1:32" x14ac:dyDescent="0.3">
      <c r="A73" s="251" t="s">
        <v>157</v>
      </c>
      <c r="B73" s="70"/>
      <c r="C73" s="153"/>
      <c r="D73" s="66">
        <f>AL16+AL37</f>
        <v>1119787511</v>
      </c>
      <c r="E73" s="64"/>
      <c r="F73" s="67"/>
      <c r="G73" s="66">
        <f>AL23+AL30</f>
        <v>1155980974</v>
      </c>
      <c r="H73" s="184">
        <f>SUM(D73:G73)</f>
        <v>2275768485</v>
      </c>
      <c r="I73" s="191"/>
      <c r="J73" s="203">
        <f>AM16+AM37</f>
        <v>760815989.19999993</v>
      </c>
      <c r="K73" s="68">
        <f>AM23+AM30</f>
        <v>786828622.70000005</v>
      </c>
      <c r="L73" s="184">
        <f>AM39</f>
        <v>1547644611.9000001</v>
      </c>
      <c r="M73" s="254">
        <v>57726000</v>
      </c>
      <c r="N73" s="68">
        <f>H73/M73</f>
        <v>39.423630339881512</v>
      </c>
      <c r="O73" s="68">
        <f>L73/M73</f>
        <v>26.810182792848977</v>
      </c>
      <c r="P73" s="64">
        <v>3229861000</v>
      </c>
      <c r="Q73" s="170">
        <f>L73/P73*100</f>
        <v>47.916755919217579</v>
      </c>
      <c r="R73" s="166">
        <f t="shared" si="19"/>
        <v>55.951581609673283</v>
      </c>
      <c r="S73" s="55"/>
      <c r="T73" s="55"/>
      <c r="U73" s="55"/>
      <c r="V73" s="55"/>
      <c r="W73" s="55"/>
      <c r="X73" s="55"/>
      <c r="Y73" s="55"/>
      <c r="Z73" s="55"/>
      <c r="AA73" s="55"/>
      <c r="AB73" s="55"/>
      <c r="AC73" s="55"/>
      <c r="AD73" s="55"/>
      <c r="AE73" s="55">
        <f>K73-J73</f>
        <v>26012633.500000119</v>
      </c>
      <c r="AF73" s="55"/>
    </row>
    <row r="74" spans="1:32" x14ac:dyDescent="0.3">
      <c r="A74" s="274" t="s">
        <v>163</v>
      </c>
      <c r="B74" s="275"/>
      <c r="C74" s="276"/>
      <c r="D74" s="277">
        <f>AN16+AN37</f>
        <v>1171569941</v>
      </c>
      <c r="E74" s="278"/>
      <c r="F74" s="279"/>
      <c r="G74" s="277">
        <f>AN23+AN30</f>
        <v>1199338186</v>
      </c>
      <c r="H74" s="280">
        <f>SUM(D74:G74)</f>
        <v>2370908127</v>
      </c>
      <c r="I74" s="273"/>
      <c r="J74" s="281">
        <f>AO16+AO37</f>
        <v>796070806.89999986</v>
      </c>
      <c r="K74" s="282">
        <f>AO23+AO30</f>
        <v>813420515.20000005</v>
      </c>
      <c r="L74" s="280">
        <f>AO39</f>
        <v>1609491322.0999997</v>
      </c>
      <c r="M74" s="283">
        <v>58780000</v>
      </c>
      <c r="N74" s="282">
        <f>H74/M74</f>
        <v>40.33528627084042</v>
      </c>
      <c r="O74" s="282">
        <f>L74/M74</f>
        <v>27.381614870704315</v>
      </c>
      <c r="P74" s="278">
        <v>3254656000</v>
      </c>
      <c r="Q74" s="284">
        <f>L74/P74*100</f>
        <v>49.451964265962353</v>
      </c>
      <c r="R74" s="285">
        <f>P74/M74</f>
        <v>55.370125893160939</v>
      </c>
      <c r="S74" s="55"/>
      <c r="T74" s="55"/>
      <c r="U74" s="55"/>
      <c r="V74" s="55"/>
      <c r="W74" s="55"/>
      <c r="X74" s="55"/>
      <c r="Y74" s="55"/>
      <c r="Z74" s="55"/>
      <c r="AA74" s="55"/>
      <c r="AB74" s="55"/>
      <c r="AC74" s="55"/>
      <c r="AD74" s="55"/>
      <c r="AE74" s="55">
        <f>K74-J74</f>
        <v>17349708.300000191</v>
      </c>
      <c r="AF74" s="55"/>
    </row>
    <row r="75" spans="1:32" ht="17.25" thickBot="1" x14ac:dyDescent="0.35">
      <c r="A75" s="286" t="s">
        <v>169</v>
      </c>
      <c r="B75" s="287"/>
      <c r="C75" s="288"/>
      <c r="D75" s="289">
        <f>AP16+AP37</f>
        <v>295633806</v>
      </c>
      <c r="E75" s="290"/>
      <c r="F75" s="291"/>
      <c r="G75" s="289">
        <f>AP23+AP30</f>
        <v>303232417</v>
      </c>
      <c r="H75" s="292">
        <f>SUM(D75:G75)</f>
        <v>598866223</v>
      </c>
      <c r="I75" s="293"/>
      <c r="J75" s="294">
        <f>AQ16+AQ37</f>
        <v>200993325.70000002</v>
      </c>
      <c r="K75" s="295">
        <f>AQ23+AQ30</f>
        <v>205253959.30000001</v>
      </c>
      <c r="L75" s="292">
        <f>AQ39</f>
        <v>406247285</v>
      </c>
      <c r="M75" s="296">
        <v>58780000</v>
      </c>
      <c r="N75" s="295">
        <f>H75/M75</f>
        <v>10.188265107179312</v>
      </c>
      <c r="O75" s="295">
        <f>L75/M75</f>
        <v>6.9113182204831576</v>
      </c>
      <c r="P75" s="290">
        <v>863343000</v>
      </c>
      <c r="Q75" s="297">
        <f>L75/P75*100</f>
        <v>47.055143204960252</v>
      </c>
      <c r="R75" s="298">
        <f>P75/M75</f>
        <v>14.687699897924464</v>
      </c>
      <c r="S75" s="55"/>
      <c r="T75" s="55"/>
      <c r="U75" s="55"/>
      <c r="V75" s="55"/>
      <c r="W75" s="55"/>
      <c r="X75" s="55"/>
      <c r="Y75" s="55"/>
      <c r="Z75" s="55"/>
      <c r="AA75" s="55"/>
      <c r="AB75" s="55"/>
      <c r="AC75" s="55"/>
      <c r="AD75" s="55"/>
      <c r="AE75" s="55">
        <f>K75-J75</f>
        <v>4260633.599999994</v>
      </c>
      <c r="AF75" s="55"/>
    </row>
    <row r="76" spans="1:32" x14ac:dyDescent="0.3">
      <c r="A76" s="238"/>
      <c r="B76" s="238"/>
      <c r="C76" s="238"/>
      <c r="D76" s="239" t="s">
        <v>69</v>
      </c>
      <c r="E76" s="240"/>
      <c r="F76" s="241"/>
      <c r="G76" s="240"/>
      <c r="H76" s="240"/>
      <c r="I76" s="242"/>
      <c r="J76" s="242"/>
      <c r="K76" s="242"/>
      <c r="L76" s="240"/>
      <c r="M76" s="240"/>
      <c r="N76" s="243"/>
      <c r="O76" s="243"/>
      <c r="P76" s="238"/>
      <c r="Q76" s="242"/>
      <c r="R76" s="242"/>
      <c r="S76" s="57"/>
      <c r="T76" s="57"/>
      <c r="U76" s="57"/>
      <c r="V76" s="57"/>
      <c r="W76" s="57"/>
      <c r="X76" s="57"/>
      <c r="Y76" s="57"/>
      <c r="Z76" s="57"/>
      <c r="AA76" s="57"/>
      <c r="AB76" s="57"/>
      <c r="AC76" s="57"/>
      <c r="AD76" s="57"/>
      <c r="AE76" s="57"/>
      <c r="AF76" s="57"/>
    </row>
    <row r="77" spans="1:32" x14ac:dyDescent="0.3">
      <c r="A77" s="238"/>
      <c r="B77" s="238"/>
      <c r="C77" s="238"/>
      <c r="D77" s="244" t="s">
        <v>83</v>
      </c>
      <c r="E77" s="240"/>
      <c r="F77" s="241"/>
      <c r="G77" s="240"/>
      <c r="H77" s="240"/>
      <c r="I77" s="242"/>
      <c r="J77" s="242"/>
      <c r="K77" s="242"/>
      <c r="L77" s="240"/>
      <c r="M77" s="240"/>
      <c r="N77" s="243"/>
      <c r="O77" s="243"/>
      <c r="P77" s="238"/>
      <c r="Q77" s="242"/>
      <c r="R77" s="242"/>
      <c r="S77" s="57"/>
      <c r="T77" s="57"/>
      <c r="U77" s="57"/>
      <c r="V77" s="57"/>
      <c r="W77" s="57"/>
      <c r="X77" s="57"/>
      <c r="Y77" s="57"/>
      <c r="Z77" s="57"/>
      <c r="AA77" s="57"/>
      <c r="AB77" s="57"/>
      <c r="AC77" s="57"/>
      <c r="AD77" s="57"/>
      <c r="AE77" s="57"/>
      <c r="AF77" s="57"/>
    </row>
    <row r="78" spans="1:32" x14ac:dyDescent="0.3">
      <c r="A78" s="238"/>
      <c r="B78" s="238"/>
      <c r="C78" s="238"/>
      <c r="D78" s="244" t="s">
        <v>80</v>
      </c>
      <c r="E78" s="240"/>
      <c r="F78" s="241"/>
      <c r="G78" s="240"/>
      <c r="H78" s="240"/>
      <c r="I78" s="242"/>
      <c r="J78" s="242"/>
      <c r="K78" s="242"/>
      <c r="L78" s="240"/>
      <c r="M78" s="240"/>
      <c r="N78" s="243"/>
      <c r="O78" s="243"/>
      <c r="P78" s="238"/>
      <c r="Q78" s="242"/>
      <c r="R78" s="242"/>
      <c r="S78" s="57"/>
      <c r="T78" s="57"/>
      <c r="U78" s="57"/>
      <c r="V78" s="57"/>
      <c r="W78" s="57"/>
      <c r="X78" s="57"/>
      <c r="Y78" s="57"/>
      <c r="Z78" s="57"/>
      <c r="AA78" s="57"/>
      <c r="AB78" s="57"/>
      <c r="AC78" s="57"/>
      <c r="AD78" s="57"/>
      <c r="AE78" s="57"/>
      <c r="AF78" s="57"/>
    </row>
    <row r="79" spans="1:32" x14ac:dyDescent="0.3">
      <c r="A79" s="238"/>
      <c r="B79" s="238"/>
      <c r="C79" s="238"/>
      <c r="D79" s="244" t="s">
        <v>82</v>
      </c>
      <c r="E79" s="240"/>
      <c r="F79" s="241"/>
      <c r="G79" s="240"/>
      <c r="H79" s="240"/>
      <c r="I79" s="242"/>
      <c r="J79" s="242"/>
      <c r="K79" s="242"/>
      <c r="L79" s="240"/>
      <c r="M79" s="240"/>
      <c r="N79" s="243"/>
      <c r="O79" s="243"/>
      <c r="P79" s="238"/>
      <c r="Q79" s="242"/>
      <c r="R79" s="242"/>
      <c r="S79" s="57"/>
      <c r="T79" s="57"/>
      <c r="U79" s="57"/>
      <c r="V79" s="57"/>
      <c r="W79" s="57"/>
      <c r="X79" s="57"/>
      <c r="Y79" s="57"/>
      <c r="Z79" s="57"/>
      <c r="AA79" s="57"/>
      <c r="AB79" s="57"/>
      <c r="AC79" s="57"/>
      <c r="AD79" s="57"/>
      <c r="AE79" s="57"/>
      <c r="AF79" s="57"/>
    </row>
    <row r="80" spans="1:32" x14ac:dyDescent="0.3">
      <c r="A80" s="238"/>
      <c r="B80" s="238"/>
      <c r="C80" s="238"/>
      <c r="D80" s="245" t="s">
        <v>142</v>
      </c>
      <c r="E80" s="240"/>
      <c r="F80" s="241"/>
      <c r="G80" s="240"/>
      <c r="H80" s="240"/>
      <c r="I80" s="242"/>
      <c r="J80" s="242"/>
      <c r="K80" s="242"/>
      <c r="L80" s="240"/>
      <c r="M80" s="240"/>
      <c r="N80" s="243"/>
      <c r="O80" s="243"/>
      <c r="P80" s="238"/>
      <c r="Q80" s="242"/>
      <c r="R80" s="242"/>
      <c r="S80" s="57"/>
      <c r="T80" s="57"/>
      <c r="U80" s="57"/>
      <c r="V80" s="57"/>
      <c r="W80" s="57"/>
      <c r="X80" s="57"/>
      <c r="Y80" s="57"/>
      <c r="Z80" s="57"/>
      <c r="AA80" s="57"/>
      <c r="AB80" s="57"/>
      <c r="AC80" s="57"/>
      <c r="AD80" s="57"/>
      <c r="AE80" s="57"/>
      <c r="AF80" s="57"/>
    </row>
    <row r="81" spans="1:32" ht="18" customHeight="1" x14ac:dyDescent="0.3">
      <c r="A81" s="238"/>
      <c r="B81" s="238"/>
      <c r="C81" s="238"/>
      <c r="D81" s="308" t="s">
        <v>77</v>
      </c>
      <c r="E81" s="308"/>
      <c r="F81" s="308"/>
      <c r="G81" s="308"/>
      <c r="H81" s="308"/>
      <c r="I81" s="308"/>
      <c r="J81" s="308"/>
      <c r="K81" s="308"/>
      <c r="L81" s="308"/>
      <c r="M81" s="308"/>
      <c r="N81" s="308"/>
      <c r="O81" s="308"/>
      <c r="P81" s="308"/>
      <c r="Q81" s="308"/>
      <c r="R81" s="256"/>
      <c r="S81" s="59"/>
      <c r="T81" s="59"/>
      <c r="U81" s="59"/>
      <c r="V81" s="59"/>
      <c r="W81" s="59"/>
      <c r="X81" s="59"/>
      <c r="Y81" s="59"/>
      <c r="Z81" s="59"/>
      <c r="AA81" s="59"/>
      <c r="AB81" s="59"/>
      <c r="AC81" s="59"/>
      <c r="AD81" s="59"/>
      <c r="AE81" s="59"/>
      <c r="AF81" s="59"/>
    </row>
    <row r="82" spans="1:32" ht="16.5" hidden="1" customHeight="1" x14ac:dyDescent="0.3">
      <c r="A82" s="238"/>
      <c r="B82" s="238"/>
      <c r="C82" s="238"/>
      <c r="D82" s="246" t="s">
        <v>87</v>
      </c>
      <c r="E82" s="240"/>
      <c r="F82" s="241"/>
      <c r="G82" s="240"/>
      <c r="H82" s="240"/>
      <c r="I82" s="242"/>
      <c r="J82" s="242"/>
      <c r="K82" s="242"/>
      <c r="L82" s="240"/>
      <c r="M82" s="240"/>
      <c r="N82" s="243"/>
      <c r="O82" s="243"/>
      <c r="P82" s="238"/>
      <c r="Q82" s="242"/>
      <c r="R82" s="242"/>
      <c r="S82" s="57"/>
      <c r="T82" s="57"/>
      <c r="U82" s="57"/>
      <c r="V82" s="57"/>
      <c r="W82" s="57"/>
      <c r="X82" s="57"/>
      <c r="Y82" s="57"/>
      <c r="Z82" s="57"/>
      <c r="AA82" s="57"/>
      <c r="AB82" s="57"/>
      <c r="AC82" s="57"/>
      <c r="AD82" s="57"/>
      <c r="AE82" s="57"/>
      <c r="AF82" s="57"/>
    </row>
    <row r="83" spans="1:32" x14ac:dyDescent="0.3">
      <c r="A83" s="238"/>
      <c r="B83" s="238"/>
      <c r="C83" s="238"/>
      <c r="D83" s="244" t="s">
        <v>141</v>
      </c>
      <c r="E83" s="240"/>
      <c r="F83" s="241"/>
      <c r="G83" s="240"/>
      <c r="H83" s="240"/>
      <c r="I83" s="242"/>
      <c r="J83" s="242"/>
      <c r="K83" s="242"/>
      <c r="L83" s="240"/>
      <c r="M83" s="240"/>
      <c r="N83" s="243"/>
      <c r="O83" s="243"/>
      <c r="P83" s="238"/>
      <c r="Q83" s="242"/>
      <c r="R83" s="242"/>
      <c r="S83" s="57"/>
      <c r="T83" s="57"/>
      <c r="U83" s="57"/>
      <c r="V83" s="57"/>
      <c r="W83" s="57"/>
      <c r="X83" s="57"/>
      <c r="Y83" s="57"/>
      <c r="Z83" s="57"/>
      <c r="AA83" s="57"/>
      <c r="AB83" s="57"/>
      <c r="AC83" s="57"/>
      <c r="AD83" s="57"/>
      <c r="AE83" s="57"/>
      <c r="AF83" s="57"/>
    </row>
    <row r="84" spans="1:32" x14ac:dyDescent="0.3">
      <c r="A84" s="238"/>
      <c r="B84" s="238"/>
      <c r="C84" s="238"/>
      <c r="D84" s="244" t="s">
        <v>140</v>
      </c>
      <c r="E84" s="240"/>
      <c r="F84" s="241"/>
      <c r="G84" s="240"/>
      <c r="H84" s="240"/>
      <c r="I84" s="242"/>
      <c r="J84" s="242"/>
      <c r="K84" s="242"/>
      <c r="L84" s="240"/>
      <c r="M84" s="240"/>
      <c r="N84" s="243"/>
      <c r="O84" s="243"/>
      <c r="P84" s="238"/>
      <c r="Q84" s="242"/>
      <c r="R84" s="242"/>
      <c r="S84" s="57"/>
      <c r="T84" s="57"/>
      <c r="U84" s="57"/>
      <c r="V84" s="57"/>
      <c r="W84" s="57"/>
      <c r="X84" s="57"/>
      <c r="Y84" s="57"/>
      <c r="Z84" s="57"/>
      <c r="AA84" s="57"/>
      <c r="AB84" s="57"/>
      <c r="AC84" s="57"/>
      <c r="AD84" s="57"/>
      <c r="AE84" s="57"/>
      <c r="AF84" s="57"/>
    </row>
    <row r="85" spans="1:32" x14ac:dyDescent="0.3">
      <c r="A85" s="238"/>
      <c r="B85" s="238"/>
      <c r="C85" s="238"/>
      <c r="D85" s="257" t="s">
        <v>74</v>
      </c>
      <c r="E85" s="258"/>
      <c r="F85" s="258"/>
      <c r="G85" s="258"/>
      <c r="H85" s="258"/>
      <c r="I85" s="259"/>
      <c r="J85" s="259"/>
      <c r="K85" s="259"/>
      <c r="L85" s="258"/>
      <c r="M85" s="258"/>
      <c r="N85" s="231"/>
      <c r="O85" s="231"/>
      <c r="P85" s="260"/>
      <c r="Q85" s="259"/>
      <c r="R85" s="259"/>
      <c r="S85" s="57"/>
      <c r="T85" s="57"/>
      <c r="U85" s="57"/>
      <c r="V85" s="57"/>
      <c r="W85" s="57"/>
      <c r="X85" s="57"/>
      <c r="Y85" s="57"/>
      <c r="Z85" s="57"/>
      <c r="AA85" s="57"/>
      <c r="AB85" s="57"/>
      <c r="AC85" s="57"/>
      <c r="AD85" s="57"/>
      <c r="AE85" s="57"/>
      <c r="AF85" s="57"/>
    </row>
    <row r="86" spans="1:32" x14ac:dyDescent="0.3">
      <c r="A86" s="238"/>
      <c r="B86" s="238"/>
      <c r="C86" s="238"/>
      <c r="D86" s="244" t="s">
        <v>156</v>
      </c>
      <c r="E86" s="240"/>
      <c r="F86" s="241"/>
      <c r="G86" s="240"/>
      <c r="H86" s="240"/>
      <c r="I86" s="242"/>
      <c r="J86" s="242"/>
      <c r="K86" s="242"/>
      <c r="L86" s="240"/>
      <c r="M86" s="240"/>
      <c r="N86" s="243"/>
      <c r="O86" s="243"/>
      <c r="P86" s="238"/>
      <c r="Q86" s="242"/>
      <c r="R86" s="242"/>
      <c r="S86" s="57"/>
      <c r="T86" s="57"/>
      <c r="U86" s="57"/>
      <c r="V86" s="57"/>
      <c r="W86" s="57"/>
      <c r="X86" s="57"/>
      <c r="Y86" s="57"/>
      <c r="Z86" s="57"/>
      <c r="AA86" s="57"/>
      <c r="AB86" s="57"/>
      <c r="AC86" s="57"/>
      <c r="AD86" s="57"/>
      <c r="AE86" s="57"/>
      <c r="AF86" s="57"/>
    </row>
    <row r="87" spans="1:32" x14ac:dyDescent="0.3">
      <c r="A87" s="246"/>
      <c r="B87" s="240"/>
      <c r="C87" s="241"/>
      <c r="D87" s="247" t="s">
        <v>160</v>
      </c>
      <c r="E87" s="240"/>
      <c r="F87" s="242"/>
      <c r="G87" s="240"/>
      <c r="H87" s="240"/>
      <c r="I87" s="243"/>
      <c r="J87" s="242"/>
      <c r="K87" s="242"/>
      <c r="L87" s="240"/>
      <c r="M87" s="238"/>
      <c r="N87" s="243"/>
      <c r="O87" s="243"/>
      <c r="P87" s="238"/>
      <c r="Q87" s="242"/>
      <c r="R87" s="242"/>
      <c r="S87" s="57"/>
      <c r="T87" s="57"/>
      <c r="U87" s="57"/>
      <c r="V87" s="57"/>
      <c r="W87" s="57"/>
      <c r="X87" s="57"/>
      <c r="Y87" s="57"/>
      <c r="Z87" s="57"/>
      <c r="AA87" s="57"/>
      <c r="AB87" s="57"/>
      <c r="AC87" s="57"/>
      <c r="AD87" s="57"/>
      <c r="AE87" s="57"/>
      <c r="AF87" s="57"/>
    </row>
    <row r="88" spans="1:32" x14ac:dyDescent="0.3">
      <c r="A88" s="246"/>
      <c r="B88" s="240"/>
      <c r="C88" s="241"/>
      <c r="D88" s="248" t="s">
        <v>161</v>
      </c>
      <c r="E88" s="240"/>
      <c r="F88" s="242"/>
      <c r="G88" s="240"/>
      <c r="H88" s="240"/>
      <c r="I88" s="243"/>
      <c r="J88" s="242"/>
      <c r="K88" s="242"/>
      <c r="L88" s="240"/>
      <c r="M88" s="238"/>
      <c r="N88" s="243"/>
      <c r="O88" s="243"/>
      <c r="P88" s="238"/>
      <c r="Q88" s="242"/>
      <c r="R88" s="242"/>
      <c r="S88" s="57"/>
      <c r="T88" s="57"/>
      <c r="U88" s="57"/>
      <c r="V88" s="57"/>
      <c r="W88" s="57"/>
      <c r="X88" s="57"/>
      <c r="Y88" s="57"/>
      <c r="Z88" s="57"/>
      <c r="AA88" s="57"/>
      <c r="AB88" s="57"/>
      <c r="AC88" s="57"/>
      <c r="AD88" s="57"/>
      <c r="AE88" s="57"/>
      <c r="AF88" s="57"/>
    </row>
    <row r="89" spans="1:32" x14ac:dyDescent="0.3">
      <c r="A89" s="246"/>
      <c r="B89" s="240"/>
      <c r="C89" s="241"/>
      <c r="D89" s="240"/>
      <c r="E89" s="240"/>
      <c r="F89" s="242"/>
      <c r="G89" s="240"/>
      <c r="H89" s="240"/>
      <c r="I89" s="243"/>
      <c r="J89" s="242"/>
      <c r="K89" s="242"/>
      <c r="L89" s="240"/>
      <c r="M89" s="238"/>
      <c r="N89" s="243"/>
      <c r="O89" s="243"/>
      <c r="P89" s="238"/>
      <c r="Q89" s="242"/>
      <c r="R89" s="242"/>
      <c r="S89" s="57"/>
      <c r="T89" s="57"/>
      <c r="U89" s="57"/>
      <c r="V89" s="57"/>
      <c r="W89" s="57"/>
      <c r="X89" s="57"/>
      <c r="Y89" s="57"/>
      <c r="Z89" s="57"/>
      <c r="AA89" s="57"/>
      <c r="AB89" s="57"/>
      <c r="AC89" s="57"/>
      <c r="AD89" s="57"/>
      <c r="AE89" s="57"/>
      <c r="AF89" s="57"/>
    </row>
    <row r="90" spans="1:32" x14ac:dyDescent="0.3">
      <c r="A90" s="261" t="s">
        <v>167</v>
      </c>
      <c r="B90" s="240"/>
      <c r="C90" s="241"/>
      <c r="D90" s="300" t="s">
        <v>171</v>
      </c>
      <c r="E90" s="240"/>
      <c r="F90" s="242"/>
      <c r="G90" s="240"/>
      <c r="H90" s="240"/>
      <c r="I90" s="243"/>
      <c r="J90" s="242"/>
      <c r="K90" s="242"/>
      <c r="L90" s="240"/>
      <c r="M90" s="238"/>
      <c r="N90" s="243"/>
      <c r="O90" s="243"/>
      <c r="P90" s="238"/>
      <c r="Q90" s="242"/>
      <c r="R90" s="242"/>
      <c r="S90" s="57"/>
      <c r="T90" s="57"/>
      <c r="U90" s="57"/>
      <c r="V90" s="57"/>
      <c r="W90" s="57"/>
      <c r="X90" s="57"/>
      <c r="Y90" s="57"/>
      <c r="Z90" s="57"/>
      <c r="AA90" s="57"/>
      <c r="AB90" s="57"/>
      <c r="AC90" s="57"/>
      <c r="AD90" s="57"/>
      <c r="AE90" s="57"/>
      <c r="AF90" s="57"/>
    </row>
    <row r="91" spans="1:32" x14ac:dyDescent="0.3">
      <c r="Q91" s="57"/>
      <c r="R91" s="57"/>
      <c r="S91" s="57"/>
      <c r="T91" s="57"/>
      <c r="U91" s="57"/>
      <c r="V91" s="57"/>
      <c r="W91" s="57"/>
      <c r="X91" s="57"/>
      <c r="Y91" s="57"/>
      <c r="Z91" s="57"/>
      <c r="AA91" s="57"/>
      <c r="AB91" s="57"/>
      <c r="AC91" s="57"/>
      <c r="AD91" s="57"/>
      <c r="AE91" s="57"/>
      <c r="AF91" s="57"/>
    </row>
    <row r="92" spans="1:32" x14ac:dyDescent="0.3">
      <c r="D92" s="262" t="s">
        <v>168</v>
      </c>
      <c r="Q92" s="57"/>
      <c r="R92" s="57"/>
      <c r="S92" s="57"/>
      <c r="T92" s="57"/>
      <c r="U92" s="57"/>
      <c r="V92" s="57"/>
      <c r="W92" s="57"/>
      <c r="X92" s="57"/>
      <c r="Y92" s="57"/>
      <c r="Z92" s="57"/>
      <c r="AA92" s="57"/>
      <c r="AB92" s="57"/>
      <c r="AC92" s="57"/>
      <c r="AD92" s="57"/>
      <c r="AE92" s="57"/>
      <c r="AF92" s="57"/>
    </row>
    <row r="93" spans="1:32" x14ac:dyDescent="0.3">
      <c r="Q93" s="57"/>
      <c r="R93" s="57"/>
      <c r="S93" s="57"/>
      <c r="T93" s="57"/>
      <c r="U93" s="57"/>
      <c r="V93" s="57"/>
      <c r="W93" s="57"/>
      <c r="X93" s="57"/>
      <c r="Y93" s="57"/>
      <c r="Z93" s="57"/>
      <c r="AA93" s="57"/>
      <c r="AB93" s="57"/>
      <c r="AC93" s="57"/>
      <c r="AD93" s="57"/>
      <c r="AE93" s="57"/>
      <c r="AF93" s="57"/>
    </row>
    <row r="94" spans="1:32" x14ac:dyDescent="0.3">
      <c r="Q94" s="57"/>
      <c r="R94" s="57"/>
      <c r="S94" s="57"/>
      <c r="T94" s="57"/>
      <c r="U94" s="57"/>
      <c r="V94" s="57"/>
      <c r="W94" s="57"/>
      <c r="X94" s="57"/>
      <c r="Y94" s="57"/>
      <c r="Z94" s="57"/>
      <c r="AA94" s="57"/>
      <c r="AB94" s="57"/>
      <c r="AC94" s="57"/>
      <c r="AD94" s="57"/>
      <c r="AE94" s="57"/>
      <c r="AF94" s="57"/>
    </row>
    <row r="95" spans="1:32" x14ac:dyDescent="0.3">
      <c r="Q95" s="57"/>
      <c r="R95" s="57"/>
      <c r="S95" s="57"/>
      <c r="T95" s="57"/>
      <c r="U95" s="57"/>
      <c r="V95" s="57"/>
      <c r="W95" s="57"/>
      <c r="X95" s="57"/>
      <c r="Y95" s="57"/>
      <c r="Z95" s="57"/>
      <c r="AA95" s="57"/>
      <c r="AB95" s="57"/>
      <c r="AC95" s="57"/>
      <c r="AD95" s="57"/>
      <c r="AE95" s="57"/>
      <c r="AF95" s="57"/>
    </row>
    <row r="96" spans="1:32" x14ac:dyDescent="0.3">
      <c r="Q96" s="57"/>
      <c r="R96" s="57"/>
      <c r="S96" s="57"/>
      <c r="T96" s="57"/>
      <c r="U96" s="57"/>
      <c r="V96" s="57"/>
      <c r="W96" s="57"/>
      <c r="X96" s="57"/>
      <c r="Y96" s="57"/>
      <c r="Z96" s="57"/>
      <c r="AA96" s="57"/>
      <c r="AB96" s="57"/>
      <c r="AC96" s="57"/>
      <c r="AD96" s="57"/>
      <c r="AE96" s="57"/>
      <c r="AF96" s="57"/>
    </row>
  </sheetData>
  <mergeCells count="8">
    <mergeCell ref="AP10:AQ10"/>
    <mergeCell ref="AN10:AO10"/>
    <mergeCell ref="AL10:AM10"/>
    <mergeCell ref="A1:Q1"/>
    <mergeCell ref="D81:Q81"/>
    <mergeCell ref="AJ10:AK10"/>
    <mergeCell ref="AH10:AI10"/>
    <mergeCell ref="A2:A3"/>
  </mergeCells>
  <pageMargins left="0.7" right="0.7" top="0.75" bottom="0.75" header="0.3" footer="0.3"/>
  <pageSetup paperSize="9" scale="3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workbookViewId="0">
      <pane xSplit="1" ySplit="4" topLeftCell="B5" activePane="bottomRight" state="frozen"/>
      <selection pane="topRight" activeCell="B1" sqref="B1"/>
      <selection pane="bottomLeft" activeCell="A5" sqref="A5"/>
      <selection pane="bottomRight" activeCell="G11" sqref="G11"/>
    </sheetView>
  </sheetViews>
  <sheetFormatPr defaultColWidth="9.140625" defaultRowHeight="12" x14ac:dyDescent="0.2"/>
  <cols>
    <col min="1" max="1" width="17.85546875" style="1" customWidth="1"/>
    <col min="2" max="2" width="17.85546875" style="11" hidden="1" customWidth="1"/>
    <col min="3" max="3" width="13.7109375" style="1" customWidth="1"/>
    <col min="4" max="4" width="13.7109375" style="11" hidden="1" customWidth="1"/>
    <col min="5" max="5" width="13.7109375" style="1" customWidth="1"/>
    <col min="6" max="6" width="13.7109375" style="11" hidden="1" customWidth="1"/>
    <col min="7" max="7" width="13.7109375" style="1" customWidth="1"/>
    <col min="8" max="8" width="13.7109375" style="11" hidden="1" customWidth="1"/>
    <col min="9" max="9" width="13.7109375" style="1" customWidth="1"/>
    <col min="10" max="10" width="13.7109375" style="11" hidden="1" customWidth="1"/>
    <col min="11" max="11" width="13.7109375" style="1" customWidth="1"/>
    <col min="12" max="12" width="9.140625" style="43"/>
    <col min="13" max="13" width="9.140625" style="1"/>
    <col min="14" max="14" width="9.5703125" style="1" customWidth="1"/>
    <col min="15" max="16384" width="9.140625" style="1"/>
  </cols>
  <sheetData>
    <row r="1" spans="1:21" x14ac:dyDescent="0.2">
      <c r="A1" s="4"/>
      <c r="B1" s="10" t="s">
        <v>65</v>
      </c>
    </row>
    <row r="2" spans="1:21" ht="24" x14ac:dyDescent="0.2">
      <c r="A2" s="25" t="s">
        <v>4</v>
      </c>
      <c r="B2" s="26"/>
      <c r="C2" s="313" t="s">
        <v>50</v>
      </c>
      <c r="D2" s="314"/>
      <c r="E2" s="314"/>
      <c r="F2" s="314"/>
      <c r="G2" s="314"/>
      <c r="H2" s="314"/>
      <c r="I2" s="314"/>
      <c r="J2" s="314"/>
      <c r="K2" s="315"/>
    </row>
    <row r="3" spans="1:21" ht="24" x14ac:dyDescent="0.2">
      <c r="A3" s="3"/>
      <c r="B3" s="13"/>
      <c r="C3" s="37" t="s">
        <v>51</v>
      </c>
      <c r="D3" s="38"/>
      <c r="E3" s="29" t="s">
        <v>52</v>
      </c>
      <c r="F3" s="30"/>
      <c r="G3" s="29" t="s">
        <v>53</v>
      </c>
      <c r="H3" s="30"/>
      <c r="I3" s="29" t="s">
        <v>70</v>
      </c>
      <c r="J3" s="30"/>
      <c r="K3" s="37" t="s">
        <v>0</v>
      </c>
      <c r="L3" s="43" t="s">
        <v>74</v>
      </c>
      <c r="N3" s="2"/>
      <c r="O3" s="2"/>
      <c r="P3" s="2"/>
      <c r="Q3" s="2"/>
      <c r="R3" s="2"/>
      <c r="S3" s="2"/>
      <c r="T3" s="2"/>
      <c r="U3" s="2"/>
    </row>
    <row r="4" spans="1:21" s="35" customFormat="1" x14ac:dyDescent="0.2">
      <c r="A4" s="24"/>
      <c r="B4" s="33">
        <v>0.453592</v>
      </c>
      <c r="C4" s="316" t="s">
        <v>86</v>
      </c>
      <c r="D4" s="317"/>
      <c r="E4" s="317"/>
      <c r="F4" s="317"/>
      <c r="G4" s="317"/>
      <c r="H4" s="317"/>
      <c r="I4" s="317"/>
      <c r="J4" s="317"/>
      <c r="K4" s="318"/>
      <c r="L4" s="44"/>
      <c r="M4" s="34"/>
      <c r="N4" s="39"/>
      <c r="O4" s="39"/>
      <c r="P4" s="39"/>
      <c r="Q4" s="39"/>
      <c r="R4" s="34"/>
      <c r="S4" s="34"/>
    </row>
    <row r="5" spans="1:21" x14ac:dyDescent="0.2">
      <c r="A5" s="5" t="s">
        <v>5</v>
      </c>
      <c r="B5" s="13">
        <v>38528</v>
      </c>
      <c r="C5" s="3">
        <f>B5*B$4</f>
        <v>17475.992576000001</v>
      </c>
      <c r="D5" s="13">
        <v>6212</v>
      </c>
      <c r="E5" s="3">
        <f t="shared" ref="E5:E18" si="0">D5*B$4</f>
        <v>2817.7135039999998</v>
      </c>
      <c r="F5" s="13">
        <v>231</v>
      </c>
      <c r="G5" s="3">
        <f t="shared" ref="G5:G18" si="1">F5*B$4</f>
        <v>104.779752</v>
      </c>
      <c r="H5" s="13">
        <v>82</v>
      </c>
      <c r="I5" s="3">
        <f t="shared" ref="I5:I18" si="2">H5*B$4</f>
        <v>37.194544</v>
      </c>
      <c r="J5" s="13">
        <v>0</v>
      </c>
      <c r="K5" s="3">
        <f t="shared" ref="K5:K18" si="3">J5*B$4</f>
        <v>0</v>
      </c>
    </row>
    <row r="6" spans="1:21" x14ac:dyDescent="0.2">
      <c r="A6" s="5" t="s">
        <v>6</v>
      </c>
      <c r="B6" s="13">
        <v>44259</v>
      </c>
      <c r="C6" s="3">
        <f t="shared" ref="C6:C18" si="4">B6*B$4</f>
        <v>20075.528328</v>
      </c>
      <c r="D6" s="13">
        <v>6054</v>
      </c>
      <c r="E6" s="3">
        <f t="shared" si="0"/>
        <v>2746.0459679999999</v>
      </c>
      <c r="F6" s="13">
        <v>375</v>
      </c>
      <c r="G6" s="3">
        <f t="shared" si="1"/>
        <v>170.09700000000001</v>
      </c>
      <c r="H6" s="13">
        <v>429</v>
      </c>
      <c r="I6" s="3">
        <f t="shared" si="2"/>
        <v>194.590968</v>
      </c>
      <c r="J6" s="13">
        <v>64</v>
      </c>
      <c r="K6" s="3">
        <f t="shared" si="3"/>
        <v>29.029888</v>
      </c>
    </row>
    <row r="7" spans="1:21" x14ac:dyDescent="0.2">
      <c r="A7" s="5" t="s">
        <v>7</v>
      </c>
      <c r="B7" s="13">
        <v>43201</v>
      </c>
      <c r="C7" s="3">
        <f t="shared" si="4"/>
        <v>19595.627992000002</v>
      </c>
      <c r="D7" s="13">
        <v>13944</v>
      </c>
      <c r="E7" s="3">
        <f t="shared" si="0"/>
        <v>6324.8868480000001</v>
      </c>
      <c r="F7" s="13">
        <v>1436</v>
      </c>
      <c r="G7" s="3">
        <f t="shared" si="1"/>
        <v>651.35811200000001</v>
      </c>
      <c r="H7" s="13">
        <v>739</v>
      </c>
      <c r="I7" s="3">
        <f t="shared" si="2"/>
        <v>335.20448799999997</v>
      </c>
      <c r="J7" s="13">
        <v>32</v>
      </c>
      <c r="K7" s="3">
        <f t="shared" si="3"/>
        <v>14.514944</v>
      </c>
    </row>
    <row r="8" spans="1:21" ht="12.75" thickBot="1" x14ac:dyDescent="0.25">
      <c r="A8" s="5" t="s">
        <v>8</v>
      </c>
      <c r="B8" s="14">
        <v>44629</v>
      </c>
      <c r="C8" s="32">
        <f t="shared" si="4"/>
        <v>20243.357368000001</v>
      </c>
      <c r="D8" s="14">
        <v>17394</v>
      </c>
      <c r="E8" s="32">
        <f t="shared" si="0"/>
        <v>7889.7792479999998</v>
      </c>
      <c r="F8" s="14">
        <v>1563</v>
      </c>
      <c r="G8" s="32">
        <f t="shared" si="1"/>
        <v>708.96429599999999</v>
      </c>
      <c r="H8" s="14">
        <v>989</v>
      </c>
      <c r="I8" s="32">
        <f t="shared" si="2"/>
        <v>448.60248799999999</v>
      </c>
      <c r="J8" s="14">
        <v>5</v>
      </c>
      <c r="K8" s="32">
        <f t="shared" si="3"/>
        <v>2.26796</v>
      </c>
      <c r="L8" s="43" t="s">
        <v>68</v>
      </c>
    </row>
    <row r="9" spans="1:21" x14ac:dyDescent="0.2">
      <c r="A9" s="5" t="s">
        <v>9</v>
      </c>
      <c r="B9" s="15">
        <v>40936</v>
      </c>
      <c r="C9" s="31">
        <f t="shared" si="4"/>
        <v>18568.242112</v>
      </c>
      <c r="D9" s="15">
        <v>20504</v>
      </c>
      <c r="E9" s="31">
        <f t="shared" si="0"/>
        <v>9300.4503679999998</v>
      </c>
      <c r="F9" s="15">
        <v>1735</v>
      </c>
      <c r="G9" s="31">
        <f t="shared" si="1"/>
        <v>786.98212000000001</v>
      </c>
      <c r="H9" s="15">
        <v>1253</v>
      </c>
      <c r="I9" s="31">
        <f t="shared" si="2"/>
        <v>568.350776</v>
      </c>
      <c r="J9" s="15">
        <v>7</v>
      </c>
      <c r="K9" s="31">
        <f t="shared" si="3"/>
        <v>3.175144</v>
      </c>
    </row>
    <row r="10" spans="1:21" x14ac:dyDescent="0.2">
      <c r="A10" s="5" t="s">
        <v>10</v>
      </c>
      <c r="B10" s="13">
        <v>41013</v>
      </c>
      <c r="C10" s="3">
        <f t="shared" si="4"/>
        <v>18603.168696000001</v>
      </c>
      <c r="D10" s="13">
        <v>23902</v>
      </c>
      <c r="E10" s="3">
        <f t="shared" si="0"/>
        <v>10841.755983999999</v>
      </c>
      <c r="F10" s="13">
        <v>3783</v>
      </c>
      <c r="G10" s="3">
        <f t="shared" si="1"/>
        <v>1715.9385359999999</v>
      </c>
      <c r="H10" s="13">
        <v>1616</v>
      </c>
      <c r="I10" s="3">
        <f t="shared" si="2"/>
        <v>733.00467200000003</v>
      </c>
      <c r="J10" s="13">
        <v>9</v>
      </c>
      <c r="K10" s="3">
        <f t="shared" si="3"/>
        <v>4.0823280000000004</v>
      </c>
    </row>
    <row r="11" spans="1:21" x14ac:dyDescent="0.2">
      <c r="A11" s="5" t="s">
        <v>11</v>
      </c>
      <c r="B11" s="13">
        <v>41494</v>
      </c>
      <c r="C11" s="3">
        <f t="shared" si="4"/>
        <v>18821.346448</v>
      </c>
      <c r="D11" s="13">
        <v>23644</v>
      </c>
      <c r="E11" s="3">
        <f t="shared" si="0"/>
        <v>10724.729248</v>
      </c>
      <c r="F11" s="13">
        <v>5501</v>
      </c>
      <c r="G11" s="3">
        <f t="shared" si="1"/>
        <v>2495.2095920000002</v>
      </c>
      <c r="H11" s="13">
        <v>1660</v>
      </c>
      <c r="I11" s="3">
        <f t="shared" si="2"/>
        <v>752.96271999999999</v>
      </c>
      <c r="J11" s="13">
        <v>9</v>
      </c>
      <c r="K11" s="3">
        <f t="shared" si="3"/>
        <v>4.0823280000000004</v>
      </c>
    </row>
    <row r="12" spans="1:21" ht="12.75" thickBot="1" x14ac:dyDescent="0.25">
      <c r="A12" s="5" t="s">
        <v>12</v>
      </c>
      <c r="B12" s="14">
        <v>40238</v>
      </c>
      <c r="C12" s="32">
        <f t="shared" si="4"/>
        <v>18251.634896</v>
      </c>
      <c r="D12" s="14">
        <v>25265</v>
      </c>
      <c r="E12" s="32">
        <f t="shared" si="0"/>
        <v>11460.00188</v>
      </c>
      <c r="F12" s="14">
        <v>3886</v>
      </c>
      <c r="G12" s="32">
        <f t="shared" si="1"/>
        <v>1762.658512</v>
      </c>
      <c r="H12" s="14">
        <v>1807</v>
      </c>
      <c r="I12" s="32">
        <f t="shared" si="2"/>
        <v>819.64074400000004</v>
      </c>
      <c r="J12" s="14">
        <v>14</v>
      </c>
      <c r="K12" s="32">
        <f t="shared" si="3"/>
        <v>6.3502879999999999</v>
      </c>
      <c r="L12" s="43" t="s">
        <v>67</v>
      </c>
    </row>
    <row r="13" spans="1:21" x14ac:dyDescent="0.2">
      <c r="A13" s="5" t="s">
        <v>13</v>
      </c>
      <c r="B13" s="15">
        <v>42547</v>
      </c>
      <c r="C13" s="31">
        <f t="shared" si="4"/>
        <v>19298.978823999998</v>
      </c>
      <c r="D13" s="15">
        <v>27519</v>
      </c>
      <c r="E13" s="31">
        <f t="shared" si="0"/>
        <v>12482.398248</v>
      </c>
      <c r="F13" s="15">
        <v>4941</v>
      </c>
      <c r="G13" s="31">
        <f t="shared" si="1"/>
        <v>2241.1980720000001</v>
      </c>
      <c r="H13" s="15">
        <v>1852</v>
      </c>
      <c r="I13" s="31">
        <f t="shared" si="2"/>
        <v>840.05238399999996</v>
      </c>
      <c r="J13" s="15">
        <v>12</v>
      </c>
      <c r="K13" s="31">
        <f t="shared" si="3"/>
        <v>5.4431039999999999</v>
      </c>
    </row>
    <row r="14" spans="1:21" x14ac:dyDescent="0.2">
      <c r="A14" s="5" t="s">
        <v>3</v>
      </c>
      <c r="B14" s="13">
        <v>40970</v>
      </c>
      <c r="C14" s="3">
        <f t="shared" si="4"/>
        <v>18583.664239999998</v>
      </c>
      <c r="D14" s="13">
        <v>29171</v>
      </c>
      <c r="E14" s="3">
        <f t="shared" si="0"/>
        <v>13231.732232</v>
      </c>
      <c r="F14" s="13">
        <v>5036</v>
      </c>
      <c r="G14" s="3">
        <f t="shared" si="1"/>
        <v>2284.2893119999999</v>
      </c>
      <c r="H14" s="13">
        <v>1848</v>
      </c>
      <c r="I14" s="3">
        <f t="shared" si="2"/>
        <v>838.23801600000002</v>
      </c>
      <c r="J14" s="13">
        <v>12</v>
      </c>
      <c r="K14" s="3">
        <f t="shared" si="3"/>
        <v>5.4431039999999999</v>
      </c>
    </row>
    <row r="15" spans="1:21" x14ac:dyDescent="0.2">
      <c r="A15" s="5" t="s">
        <v>14</v>
      </c>
      <c r="B15" s="13">
        <v>40907</v>
      </c>
      <c r="C15" s="3">
        <f t="shared" si="4"/>
        <v>18555.087943999999</v>
      </c>
      <c r="D15" s="13">
        <v>28911</v>
      </c>
      <c r="E15" s="3">
        <f t="shared" si="0"/>
        <v>13113.798311999999</v>
      </c>
      <c r="F15" s="13">
        <v>5556</v>
      </c>
      <c r="G15" s="3">
        <f t="shared" si="1"/>
        <v>2520.1571519999998</v>
      </c>
      <c r="H15" s="13">
        <v>1858</v>
      </c>
      <c r="I15" s="3">
        <f t="shared" si="2"/>
        <v>842.77393599999994</v>
      </c>
      <c r="J15" s="13">
        <v>31</v>
      </c>
      <c r="K15" s="3">
        <f t="shared" si="3"/>
        <v>14.061351999999999</v>
      </c>
    </row>
    <row r="16" spans="1:21" x14ac:dyDescent="0.2">
      <c r="A16" s="5" t="s">
        <v>15</v>
      </c>
      <c r="B16" s="13">
        <v>42121</v>
      </c>
      <c r="C16" s="3">
        <f t="shared" si="4"/>
        <v>19105.748631999999</v>
      </c>
      <c r="D16" s="13">
        <v>30354</v>
      </c>
      <c r="E16" s="3">
        <f t="shared" si="0"/>
        <v>13768.331568</v>
      </c>
      <c r="F16" s="13">
        <v>6209</v>
      </c>
      <c r="G16" s="3">
        <f t="shared" si="1"/>
        <v>2816.3527279999998</v>
      </c>
      <c r="H16" s="13">
        <v>1927</v>
      </c>
      <c r="I16" s="3">
        <f t="shared" si="2"/>
        <v>874.07178399999998</v>
      </c>
      <c r="J16" s="13">
        <v>12</v>
      </c>
      <c r="K16" s="3">
        <f t="shared" si="3"/>
        <v>5.4431039999999999</v>
      </c>
    </row>
    <row r="17" spans="1:12" x14ac:dyDescent="0.2">
      <c r="A17" s="5" t="s">
        <v>16</v>
      </c>
      <c r="B17" s="13">
        <v>43816</v>
      </c>
      <c r="C17" s="3">
        <f t="shared" si="4"/>
        <v>19874.587071999998</v>
      </c>
      <c r="D17" s="13">
        <v>28957</v>
      </c>
      <c r="E17" s="3">
        <f t="shared" si="0"/>
        <v>13134.663543999999</v>
      </c>
      <c r="F17" s="13">
        <v>5784</v>
      </c>
      <c r="G17" s="3">
        <f t="shared" si="1"/>
        <v>2623.5761280000002</v>
      </c>
      <c r="H17" s="13">
        <v>1883</v>
      </c>
      <c r="I17" s="3">
        <f t="shared" si="2"/>
        <v>854.11373600000002</v>
      </c>
      <c r="J17" s="13">
        <v>2</v>
      </c>
      <c r="K17" s="3">
        <f t="shared" si="3"/>
        <v>0.90718399999999999</v>
      </c>
    </row>
    <row r="18" spans="1:12" s="11" customFormat="1" ht="12.75" thickBot="1" x14ac:dyDescent="0.25">
      <c r="A18" s="28" t="s">
        <v>17</v>
      </c>
      <c r="B18" s="14">
        <v>48330</v>
      </c>
      <c r="C18" s="14">
        <f t="shared" si="4"/>
        <v>21922.101360000001</v>
      </c>
      <c r="D18" s="14">
        <v>28845</v>
      </c>
      <c r="E18" s="14">
        <f t="shared" si="0"/>
        <v>13083.86124</v>
      </c>
      <c r="F18" s="14">
        <v>5138</v>
      </c>
      <c r="G18" s="14">
        <f t="shared" si="1"/>
        <v>2330.5556959999999</v>
      </c>
      <c r="H18" s="14">
        <v>2116</v>
      </c>
      <c r="I18" s="14">
        <f t="shared" si="2"/>
        <v>959.80067199999996</v>
      </c>
      <c r="J18" s="14">
        <v>3</v>
      </c>
      <c r="K18" s="14">
        <f t="shared" si="3"/>
        <v>1.360776</v>
      </c>
      <c r="L18" s="45" t="s">
        <v>66</v>
      </c>
    </row>
    <row r="19" spans="1:12" x14ac:dyDescent="0.2">
      <c r="A19" s="5" t="s">
        <v>18</v>
      </c>
      <c r="B19" s="15"/>
      <c r="C19" s="31">
        <v>23794</v>
      </c>
      <c r="D19" s="15"/>
      <c r="E19" s="31">
        <v>12999</v>
      </c>
      <c r="F19" s="15"/>
      <c r="G19" s="31">
        <v>3128</v>
      </c>
      <c r="H19" s="15"/>
      <c r="I19" s="31">
        <v>870</v>
      </c>
      <c r="J19" s="15"/>
      <c r="K19" s="31">
        <v>2</v>
      </c>
    </row>
    <row r="20" spans="1:12" x14ac:dyDescent="0.2">
      <c r="A20" s="5" t="s">
        <v>19</v>
      </c>
      <c r="B20" s="13"/>
      <c r="C20" s="3">
        <v>26956</v>
      </c>
      <c r="D20" s="13"/>
      <c r="E20" s="3">
        <v>14166</v>
      </c>
      <c r="F20" s="13"/>
      <c r="G20" s="3">
        <v>3496</v>
      </c>
      <c r="H20" s="13"/>
      <c r="I20" s="3">
        <v>1113</v>
      </c>
      <c r="J20" s="13"/>
      <c r="K20" s="3">
        <v>2</v>
      </c>
    </row>
    <row r="21" spans="1:12" x14ac:dyDescent="0.2">
      <c r="A21" s="5" t="s">
        <v>20</v>
      </c>
      <c r="B21" s="13"/>
      <c r="C21" s="3">
        <v>30368</v>
      </c>
      <c r="D21" s="13"/>
      <c r="E21" s="3">
        <v>14997</v>
      </c>
      <c r="F21" s="13"/>
      <c r="G21" s="3">
        <v>4071</v>
      </c>
      <c r="H21" s="13"/>
      <c r="I21" s="3">
        <v>1221</v>
      </c>
      <c r="J21" s="13"/>
      <c r="K21" s="3">
        <v>5</v>
      </c>
    </row>
    <row r="22" spans="1:12" ht="12.75" thickBot="1" x14ac:dyDescent="0.25">
      <c r="A22" s="5" t="s">
        <v>21</v>
      </c>
      <c r="B22" s="14"/>
      <c r="C22" s="32">
        <v>33995</v>
      </c>
      <c r="D22" s="14"/>
      <c r="E22" s="32">
        <v>14599</v>
      </c>
      <c r="F22" s="14"/>
      <c r="G22" s="32">
        <v>2824</v>
      </c>
      <c r="H22" s="14"/>
      <c r="I22" s="32">
        <v>1020</v>
      </c>
      <c r="J22" s="14"/>
      <c r="K22" s="32">
        <v>3</v>
      </c>
      <c r="L22" s="43" t="s">
        <v>64</v>
      </c>
    </row>
    <row r="23" spans="1:12" ht="12.75" thickBot="1" x14ac:dyDescent="0.25">
      <c r="A23" s="5" t="s">
        <v>22</v>
      </c>
      <c r="B23" s="16"/>
      <c r="C23" s="36">
        <v>36101</v>
      </c>
      <c r="D23" s="40"/>
      <c r="E23" s="36">
        <v>16113</v>
      </c>
      <c r="F23" s="40"/>
      <c r="G23" s="36">
        <v>2931</v>
      </c>
      <c r="H23" s="40"/>
      <c r="I23" s="36">
        <v>836</v>
      </c>
      <c r="J23" s="40"/>
      <c r="K23" s="36">
        <v>3</v>
      </c>
    </row>
    <row r="24" spans="1:12" ht="12.75" thickBot="1" x14ac:dyDescent="0.25">
      <c r="A24" s="5" t="s">
        <v>23</v>
      </c>
      <c r="B24" s="16"/>
      <c r="C24" s="36">
        <v>38746</v>
      </c>
      <c r="D24" s="40"/>
      <c r="E24" s="36">
        <v>16635</v>
      </c>
      <c r="F24" s="40"/>
      <c r="G24" s="36">
        <v>3128</v>
      </c>
      <c r="H24" s="40"/>
      <c r="I24" s="36">
        <v>870</v>
      </c>
      <c r="J24" s="40"/>
      <c r="K24" s="36">
        <v>2</v>
      </c>
    </row>
    <row r="25" spans="1:12" x14ac:dyDescent="0.2">
      <c r="A25" s="5" t="s">
        <v>24</v>
      </c>
      <c r="B25" s="17"/>
      <c r="C25" s="31">
        <v>42582</v>
      </c>
      <c r="D25" s="15"/>
      <c r="E25" s="31">
        <v>18460</v>
      </c>
      <c r="F25" s="15"/>
      <c r="G25" s="31">
        <v>3496</v>
      </c>
      <c r="H25" s="15"/>
      <c r="I25" s="31">
        <v>1113</v>
      </c>
      <c r="J25" s="15"/>
      <c r="K25" s="31">
        <v>2</v>
      </c>
    </row>
    <row r="26" spans="1:12" x14ac:dyDescent="0.2">
      <c r="A26" s="5" t="s">
        <v>25</v>
      </c>
      <c r="B26" s="18"/>
      <c r="C26" s="3">
        <v>47945</v>
      </c>
      <c r="D26" s="13"/>
      <c r="E26" s="3">
        <v>20313</v>
      </c>
      <c r="F26" s="13"/>
      <c r="G26" s="3">
        <v>4071</v>
      </c>
      <c r="H26" s="13"/>
      <c r="I26" s="3">
        <v>1221</v>
      </c>
      <c r="J26" s="13"/>
      <c r="K26" s="3">
        <v>5</v>
      </c>
    </row>
    <row r="27" spans="1:12" x14ac:dyDescent="0.2">
      <c r="A27" s="5" t="s">
        <v>26</v>
      </c>
      <c r="B27" s="18"/>
      <c r="C27" s="3">
        <v>50092</v>
      </c>
      <c r="D27" s="13"/>
      <c r="E27" s="3">
        <v>24302</v>
      </c>
      <c r="F27" s="13"/>
      <c r="G27" s="3">
        <v>5405</v>
      </c>
      <c r="H27" s="13"/>
      <c r="I27" s="3">
        <v>1547</v>
      </c>
      <c r="J27" s="13"/>
      <c r="K27" s="3">
        <v>4</v>
      </c>
    </row>
    <row r="28" spans="1:12" x14ac:dyDescent="0.2">
      <c r="A28" s="5" t="s">
        <v>27</v>
      </c>
      <c r="B28" s="18"/>
      <c r="C28" s="3">
        <v>53127</v>
      </c>
      <c r="D28" s="13"/>
      <c r="E28" s="3">
        <v>33515</v>
      </c>
      <c r="F28" s="13"/>
      <c r="G28" s="3">
        <v>6280</v>
      </c>
      <c r="H28" s="13"/>
      <c r="I28" s="3">
        <v>1535</v>
      </c>
      <c r="J28" s="13"/>
      <c r="K28" s="3">
        <v>12</v>
      </c>
      <c r="L28" s="43" t="s">
        <v>63</v>
      </c>
    </row>
    <row r="29" spans="1:12" ht="12.75" thickBot="1" x14ac:dyDescent="0.25">
      <c r="A29" s="5" t="s">
        <v>28</v>
      </c>
      <c r="B29" s="19"/>
      <c r="C29" s="32">
        <v>54998</v>
      </c>
      <c r="D29" s="14"/>
      <c r="E29" s="32">
        <v>27900</v>
      </c>
      <c r="F29" s="14"/>
      <c r="G29" s="32">
        <v>7003</v>
      </c>
      <c r="H29" s="14"/>
      <c r="I29" s="32">
        <v>1818</v>
      </c>
      <c r="J29" s="14"/>
      <c r="K29" s="32">
        <v>240</v>
      </c>
    </row>
    <row r="30" spans="1:12" x14ac:dyDescent="0.2">
      <c r="A30" s="5" t="s">
        <v>29</v>
      </c>
      <c r="B30" s="17"/>
      <c r="C30" s="31">
        <v>57472</v>
      </c>
      <c r="D30" s="15"/>
      <c r="E30" s="31">
        <v>29790</v>
      </c>
      <c r="F30" s="15"/>
      <c r="G30" s="31">
        <v>9034</v>
      </c>
      <c r="H30" s="15"/>
      <c r="I30" s="31">
        <v>2322</v>
      </c>
      <c r="J30" s="15"/>
      <c r="K30" s="31">
        <v>44</v>
      </c>
    </row>
    <row r="31" spans="1:12" ht="12.75" thickBot="1" x14ac:dyDescent="0.25">
      <c r="A31" s="5" t="s">
        <v>30</v>
      </c>
      <c r="B31" s="19"/>
      <c r="C31" s="32">
        <v>51448</v>
      </c>
      <c r="D31" s="14"/>
      <c r="E31" s="32">
        <v>31634</v>
      </c>
      <c r="F31" s="14"/>
      <c r="G31" s="32">
        <v>9024</v>
      </c>
      <c r="H31" s="14"/>
      <c r="I31" s="32">
        <v>2257</v>
      </c>
      <c r="J31" s="14"/>
      <c r="K31" s="32">
        <v>112</v>
      </c>
      <c r="L31" s="43" t="s">
        <v>62</v>
      </c>
    </row>
    <row r="32" spans="1:12" ht="12.75" thickBot="1" x14ac:dyDescent="0.25">
      <c r="A32" s="5" t="s">
        <v>31</v>
      </c>
      <c r="B32" s="16"/>
      <c r="C32" s="36">
        <v>51276</v>
      </c>
      <c r="D32" s="40"/>
      <c r="E32" s="36">
        <v>35038</v>
      </c>
      <c r="F32" s="40"/>
      <c r="G32" s="36">
        <v>13365</v>
      </c>
      <c r="H32" s="40"/>
      <c r="I32" s="36">
        <v>2707</v>
      </c>
      <c r="J32" s="40"/>
      <c r="K32" s="36">
        <v>19</v>
      </c>
    </row>
    <row r="33" spans="1:12" x14ac:dyDescent="0.2">
      <c r="A33" s="5" t="s">
        <v>32</v>
      </c>
      <c r="B33" s="17"/>
      <c r="C33" s="31">
        <v>51313</v>
      </c>
      <c r="D33" s="15"/>
      <c r="E33" s="31">
        <v>28894</v>
      </c>
      <c r="F33" s="15"/>
      <c r="G33" s="31">
        <v>12293</v>
      </c>
      <c r="H33" s="15"/>
      <c r="I33" s="31">
        <v>2804</v>
      </c>
      <c r="J33" s="15"/>
      <c r="K33" s="31">
        <v>41</v>
      </c>
    </row>
    <row r="34" spans="1:12" x14ac:dyDescent="0.2">
      <c r="A34" s="5" t="s">
        <v>33</v>
      </c>
      <c r="B34" s="18"/>
      <c r="C34" s="3">
        <v>57209</v>
      </c>
      <c r="D34" s="13"/>
      <c r="E34" s="3">
        <v>25614</v>
      </c>
      <c r="F34" s="13"/>
      <c r="G34" s="3">
        <v>4969</v>
      </c>
      <c r="H34" s="13"/>
      <c r="I34" s="3">
        <v>3109</v>
      </c>
      <c r="J34" s="13"/>
      <c r="K34" s="3">
        <v>44</v>
      </c>
    </row>
    <row r="35" spans="1:12" x14ac:dyDescent="0.2">
      <c r="A35" s="5" t="s">
        <v>34</v>
      </c>
      <c r="B35" s="18"/>
      <c r="C35" s="3">
        <v>62603</v>
      </c>
      <c r="D35" s="13"/>
      <c r="E35" s="3">
        <v>23032</v>
      </c>
      <c r="F35" s="13"/>
      <c r="G35" s="3">
        <v>5246</v>
      </c>
      <c r="H35" s="13"/>
      <c r="I35" s="3">
        <v>3507</v>
      </c>
      <c r="J35" s="13"/>
      <c r="K35" s="3">
        <v>42</v>
      </c>
    </row>
    <row r="36" spans="1:12" x14ac:dyDescent="0.2">
      <c r="A36" s="5" t="s">
        <v>35</v>
      </c>
      <c r="B36" s="18"/>
      <c r="C36" s="3">
        <v>68645</v>
      </c>
      <c r="D36" s="13"/>
      <c r="E36" s="3">
        <v>21849</v>
      </c>
      <c r="F36" s="13"/>
      <c r="G36" s="3">
        <v>4880</v>
      </c>
      <c r="H36" s="13"/>
      <c r="I36" s="3">
        <v>3541</v>
      </c>
      <c r="J36" s="13"/>
      <c r="K36" s="3">
        <v>63</v>
      </c>
    </row>
    <row r="37" spans="1:12" ht="12.75" thickBot="1" x14ac:dyDescent="0.25">
      <c r="A37" s="6" t="s">
        <v>36</v>
      </c>
      <c r="B37" s="20"/>
      <c r="C37" s="32">
        <v>76176</v>
      </c>
      <c r="D37" s="14"/>
      <c r="E37" s="32">
        <v>22373</v>
      </c>
      <c r="F37" s="14"/>
      <c r="G37" s="32">
        <v>4541</v>
      </c>
      <c r="H37" s="14"/>
      <c r="I37" s="32">
        <v>3535</v>
      </c>
      <c r="J37" s="14"/>
      <c r="K37" s="32">
        <v>62</v>
      </c>
      <c r="L37" s="43" t="s">
        <v>71</v>
      </c>
    </row>
    <row r="38" spans="1:12" x14ac:dyDescent="0.2">
      <c r="A38" s="6" t="s">
        <v>37</v>
      </c>
      <c r="B38" s="21"/>
      <c r="C38" s="31">
        <v>53182</v>
      </c>
      <c r="D38" s="15"/>
      <c r="E38" s="31">
        <v>8083</v>
      </c>
      <c r="F38" s="15"/>
      <c r="G38" s="31">
        <v>1445</v>
      </c>
      <c r="H38" s="15"/>
      <c r="I38" s="31">
        <v>725</v>
      </c>
      <c r="J38" s="15"/>
      <c r="K38" s="31">
        <v>82</v>
      </c>
    </row>
    <row r="39" spans="1:12" x14ac:dyDescent="0.2">
      <c r="A39" s="6" t="s">
        <v>38</v>
      </c>
      <c r="B39" s="22"/>
      <c r="C39" s="3">
        <v>59492</v>
      </c>
      <c r="D39" s="13"/>
      <c r="E39" s="3">
        <v>10531</v>
      </c>
      <c r="F39" s="13"/>
      <c r="G39" s="3">
        <v>1845</v>
      </c>
      <c r="H39" s="13"/>
      <c r="I39" s="3">
        <v>1057</v>
      </c>
      <c r="J39" s="13"/>
      <c r="K39" s="3">
        <v>8</v>
      </c>
    </row>
    <row r="40" spans="1:12" x14ac:dyDescent="0.2">
      <c r="A40" s="6" t="s">
        <v>39</v>
      </c>
      <c r="B40" s="22"/>
      <c r="C40" s="3">
        <v>56995</v>
      </c>
      <c r="D40" s="13"/>
      <c r="E40" s="3">
        <v>9558</v>
      </c>
      <c r="F40" s="13"/>
      <c r="G40" s="3">
        <v>1828</v>
      </c>
      <c r="H40" s="13"/>
      <c r="I40" s="3">
        <v>930</v>
      </c>
      <c r="J40" s="13"/>
      <c r="K40" s="3">
        <v>5</v>
      </c>
    </row>
    <row r="41" spans="1:12" x14ac:dyDescent="0.2">
      <c r="A41" s="6" t="s">
        <v>40</v>
      </c>
      <c r="B41" s="22"/>
      <c r="C41" s="3">
        <v>57619</v>
      </c>
      <c r="D41" s="13"/>
      <c r="E41" s="3">
        <v>13174</v>
      </c>
      <c r="F41" s="13"/>
      <c r="G41" s="3">
        <v>3088</v>
      </c>
      <c r="H41" s="13"/>
      <c r="I41" s="3">
        <v>1261</v>
      </c>
      <c r="J41" s="13"/>
      <c r="K41" s="3">
        <v>12</v>
      </c>
    </row>
    <row r="42" spans="1:12" x14ac:dyDescent="0.2">
      <c r="A42" s="6" t="s">
        <v>41</v>
      </c>
      <c r="B42" s="22"/>
      <c r="C42" s="3">
        <v>56406</v>
      </c>
      <c r="D42" s="13"/>
      <c r="E42" s="3">
        <v>12558</v>
      </c>
      <c r="F42" s="13"/>
      <c r="G42" s="3">
        <v>2454</v>
      </c>
      <c r="H42" s="13"/>
      <c r="I42" s="3">
        <v>1103</v>
      </c>
      <c r="J42" s="13"/>
      <c r="K42" s="3">
        <v>6</v>
      </c>
    </row>
    <row r="43" spans="1:12" x14ac:dyDescent="0.2">
      <c r="A43" s="6" t="s">
        <v>42</v>
      </c>
      <c r="B43" s="22"/>
      <c r="C43" s="3">
        <v>59073</v>
      </c>
      <c r="D43" s="13"/>
      <c r="E43" s="3">
        <v>16955</v>
      </c>
      <c r="F43" s="13"/>
      <c r="G43" s="3">
        <v>3707</v>
      </c>
      <c r="H43" s="13"/>
      <c r="I43" s="3">
        <v>1382</v>
      </c>
      <c r="J43" s="13"/>
      <c r="K43" s="3">
        <v>3</v>
      </c>
    </row>
    <row r="44" spans="1:12" x14ac:dyDescent="0.2">
      <c r="A44" s="6" t="s">
        <v>43</v>
      </c>
      <c r="B44" s="22"/>
      <c r="C44" s="3">
        <v>63052</v>
      </c>
      <c r="D44" s="13"/>
      <c r="E44" s="3">
        <v>18879</v>
      </c>
      <c r="F44" s="13"/>
      <c r="G44" s="3">
        <v>4704</v>
      </c>
      <c r="H44" s="13"/>
      <c r="I44" s="3">
        <v>1945</v>
      </c>
      <c r="J44" s="13"/>
      <c r="K44" s="3">
        <v>9</v>
      </c>
    </row>
    <row r="45" spans="1:12" x14ac:dyDescent="0.2">
      <c r="A45" s="6" t="s">
        <v>44</v>
      </c>
      <c r="B45" s="22"/>
      <c r="C45" s="3">
        <v>68255</v>
      </c>
      <c r="D45" s="13"/>
      <c r="E45" s="3">
        <v>20453</v>
      </c>
      <c r="F45" s="13"/>
      <c r="G45" s="3">
        <v>5605</v>
      </c>
      <c r="H45" s="13"/>
      <c r="I45" s="3">
        <v>1659</v>
      </c>
      <c r="J45" s="13"/>
      <c r="K45" s="3">
        <v>5</v>
      </c>
    </row>
    <row r="46" spans="1:12" x14ac:dyDescent="0.2">
      <c r="A46" s="6" t="s">
        <v>45</v>
      </c>
      <c r="B46" s="22"/>
      <c r="C46" s="3">
        <v>74324</v>
      </c>
      <c r="D46" s="13"/>
      <c r="E46" s="3">
        <v>23255</v>
      </c>
      <c r="F46" s="13"/>
      <c r="G46" s="3">
        <v>5623</v>
      </c>
      <c r="H46" s="13"/>
      <c r="I46" s="3">
        <v>1752</v>
      </c>
      <c r="J46" s="13"/>
      <c r="K46" s="3">
        <v>88</v>
      </c>
    </row>
    <row r="47" spans="1:12" ht="12.75" thickBot="1" x14ac:dyDescent="0.25">
      <c r="A47" s="6" t="s">
        <v>46</v>
      </c>
      <c r="B47" s="20"/>
      <c r="C47" s="32">
        <v>61814</v>
      </c>
      <c r="D47" s="14"/>
      <c r="E47" s="32">
        <v>23275</v>
      </c>
      <c r="F47" s="14"/>
      <c r="G47" s="32">
        <v>6169</v>
      </c>
      <c r="H47" s="14"/>
      <c r="I47" s="32">
        <v>1864</v>
      </c>
      <c r="J47" s="14"/>
      <c r="K47" s="32">
        <v>37</v>
      </c>
      <c r="L47" s="43" t="s">
        <v>55</v>
      </c>
    </row>
    <row r="48" spans="1:12" x14ac:dyDescent="0.2">
      <c r="A48" s="6" t="s">
        <v>47</v>
      </c>
      <c r="B48" s="23"/>
      <c r="C48" s="31">
        <v>58556</v>
      </c>
      <c r="D48" s="15"/>
      <c r="E48" s="31">
        <v>12876</v>
      </c>
      <c r="F48" s="15"/>
      <c r="G48" s="31">
        <v>3406</v>
      </c>
      <c r="H48" s="15"/>
      <c r="I48" s="31">
        <v>907</v>
      </c>
      <c r="J48" s="15"/>
      <c r="K48" s="31">
        <v>43</v>
      </c>
    </row>
    <row r="49" spans="1:12" ht="12.75" thickBot="1" x14ac:dyDescent="0.25">
      <c r="A49" s="6" t="s">
        <v>48</v>
      </c>
      <c r="B49" s="23"/>
      <c r="C49" s="32">
        <v>55942</v>
      </c>
      <c r="D49" s="14"/>
      <c r="E49" s="32">
        <v>13314</v>
      </c>
      <c r="F49" s="14"/>
      <c r="G49" s="32">
        <v>3474</v>
      </c>
      <c r="H49" s="14"/>
      <c r="I49" s="32">
        <v>859</v>
      </c>
      <c r="J49" s="14"/>
      <c r="K49" s="32">
        <v>39</v>
      </c>
      <c r="L49" s="43" t="s">
        <v>49</v>
      </c>
    </row>
    <row r="50" spans="1:12" x14ac:dyDescent="0.2">
      <c r="A50" s="7" t="s">
        <v>73</v>
      </c>
      <c r="B50" s="23"/>
    </row>
  </sheetData>
  <mergeCells count="2">
    <mergeCell ref="C2:K2"/>
    <mergeCell ref="C4:K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pane xSplit="1" ySplit="3" topLeftCell="B4" activePane="bottomRight" state="frozen"/>
      <selection pane="topRight" activeCell="B1" sqref="B1"/>
      <selection pane="bottomLeft" activeCell="A4" sqref="A4"/>
      <selection pane="bottomRight" activeCell="G14" sqref="G14"/>
    </sheetView>
  </sheetViews>
  <sheetFormatPr defaultColWidth="9.140625" defaultRowHeight="12" x14ac:dyDescent="0.2"/>
  <cols>
    <col min="1" max="1" width="17.85546875" style="1" customWidth="1"/>
    <col min="2" max="2" width="17.85546875" style="11" hidden="1" customWidth="1"/>
    <col min="3" max="3" width="13.7109375" style="1" customWidth="1"/>
    <col min="4" max="4" width="13.7109375" style="11" hidden="1" customWidth="1"/>
    <col min="5" max="5" width="13.7109375" style="1" customWidth="1"/>
    <col min="6" max="6" width="13.7109375" style="11" hidden="1" customWidth="1"/>
    <col min="7" max="7" width="13.7109375" style="1" customWidth="1"/>
    <col min="8" max="8" width="13.7109375" style="11" hidden="1" customWidth="1"/>
    <col min="9" max="9" width="13.7109375" style="1" customWidth="1"/>
    <col min="10" max="10" width="13.7109375" style="11" hidden="1" customWidth="1"/>
    <col min="11" max="11" width="13.7109375" style="1" customWidth="1"/>
    <col min="12" max="12" width="9.140625" style="43"/>
    <col min="13" max="16384" width="9.140625" style="1"/>
  </cols>
  <sheetData>
    <row r="1" spans="1:19" x14ac:dyDescent="0.2">
      <c r="A1" s="4"/>
    </row>
    <row r="2" spans="1:19" ht="24" x14ac:dyDescent="0.2">
      <c r="A2" s="25" t="s">
        <v>4</v>
      </c>
      <c r="B2" s="26"/>
      <c r="C2" s="313" t="s">
        <v>56</v>
      </c>
      <c r="D2" s="314"/>
      <c r="E2" s="314"/>
      <c r="F2" s="314"/>
      <c r="G2" s="314"/>
      <c r="H2" s="314"/>
      <c r="I2" s="314"/>
      <c r="J2" s="314"/>
      <c r="K2" s="315"/>
    </row>
    <row r="3" spans="1:19" ht="24" x14ac:dyDescent="0.2">
      <c r="A3" s="3"/>
      <c r="B3" s="13"/>
      <c r="C3" s="37" t="s">
        <v>51</v>
      </c>
      <c r="D3" s="38"/>
      <c r="E3" s="29" t="s">
        <v>52</v>
      </c>
      <c r="F3" s="30"/>
      <c r="G3" s="29" t="s">
        <v>53</v>
      </c>
      <c r="H3" s="30"/>
      <c r="I3" s="29" t="s">
        <v>54</v>
      </c>
      <c r="J3" s="30"/>
      <c r="K3" s="37" t="s">
        <v>0</v>
      </c>
      <c r="L3" s="43" t="s">
        <v>74</v>
      </c>
    </row>
    <row r="4" spans="1:19" s="2" customFormat="1" x14ac:dyDescent="0.2">
      <c r="A4" s="24"/>
      <c r="B4" s="41">
        <v>0.453592</v>
      </c>
      <c r="C4" s="319" t="s">
        <v>86</v>
      </c>
      <c r="D4" s="320"/>
      <c r="E4" s="320"/>
      <c r="F4" s="320"/>
      <c r="G4" s="320"/>
      <c r="H4" s="320"/>
      <c r="I4" s="320"/>
      <c r="J4" s="320"/>
      <c r="K4" s="321"/>
      <c r="L4" s="44"/>
      <c r="M4" s="34"/>
      <c r="N4" s="39"/>
      <c r="O4" s="39"/>
      <c r="P4" s="39"/>
      <c r="Q4" s="39"/>
      <c r="R4" s="34"/>
      <c r="S4" s="34"/>
    </row>
    <row r="5" spans="1:19" x14ac:dyDescent="0.2">
      <c r="A5" s="5" t="s">
        <v>5</v>
      </c>
      <c r="B5" s="13">
        <v>11887</v>
      </c>
      <c r="C5" s="3">
        <f t="shared" ref="C5:C18" si="0">B5*$B$4</f>
        <v>5391.8481039999997</v>
      </c>
      <c r="D5" s="13">
        <v>1467</v>
      </c>
      <c r="E5" s="3">
        <f t="shared" ref="E5:E18" si="1">D5*$B$4</f>
        <v>665.41946399999995</v>
      </c>
      <c r="F5" s="13">
        <v>12</v>
      </c>
      <c r="G5" s="3">
        <f t="shared" ref="G5:G18" si="2">F5*$B$4</f>
        <v>5.4431039999999999</v>
      </c>
      <c r="H5" s="13">
        <v>52</v>
      </c>
      <c r="I5" s="3">
        <f t="shared" ref="I5:I18" si="3">H5*$B$4</f>
        <v>23.586784000000002</v>
      </c>
      <c r="J5" s="13">
        <v>85</v>
      </c>
      <c r="K5" s="3">
        <f t="shared" ref="K5:K18" si="4">J5*$B$4</f>
        <v>38.555320000000002</v>
      </c>
    </row>
    <row r="6" spans="1:19" x14ac:dyDescent="0.2">
      <c r="A6" s="5" t="s">
        <v>6</v>
      </c>
      <c r="B6" s="13">
        <v>12180</v>
      </c>
      <c r="C6" s="3">
        <f t="shared" si="0"/>
        <v>5524.7505599999995</v>
      </c>
      <c r="D6" s="13">
        <v>2382</v>
      </c>
      <c r="E6" s="3">
        <f t="shared" si="1"/>
        <v>1080.456144</v>
      </c>
      <c r="F6" s="13">
        <v>28</v>
      </c>
      <c r="G6" s="3">
        <f t="shared" si="2"/>
        <v>12.700576</v>
      </c>
      <c r="H6" s="13">
        <v>312</v>
      </c>
      <c r="I6" s="3">
        <f t="shared" si="3"/>
        <v>141.52070399999999</v>
      </c>
      <c r="J6" s="13">
        <v>118</v>
      </c>
      <c r="K6" s="3">
        <f t="shared" si="4"/>
        <v>53.523856000000002</v>
      </c>
    </row>
    <row r="7" spans="1:19" x14ac:dyDescent="0.2">
      <c r="A7" s="5" t="s">
        <v>7</v>
      </c>
      <c r="B7" s="13">
        <v>11639</v>
      </c>
      <c r="C7" s="3">
        <f t="shared" si="0"/>
        <v>5279.3572880000002</v>
      </c>
      <c r="D7" s="13">
        <v>4103</v>
      </c>
      <c r="E7" s="3">
        <f t="shared" si="1"/>
        <v>1861.087976</v>
      </c>
      <c r="F7" s="13">
        <v>18</v>
      </c>
      <c r="G7" s="3">
        <f t="shared" si="2"/>
        <v>8.1646560000000008</v>
      </c>
      <c r="H7" s="13">
        <v>474</v>
      </c>
      <c r="I7" s="3">
        <f t="shared" si="3"/>
        <v>215.00260800000001</v>
      </c>
      <c r="J7" s="13">
        <v>212</v>
      </c>
      <c r="K7" s="3">
        <f t="shared" si="4"/>
        <v>96.161503999999994</v>
      </c>
    </row>
    <row r="8" spans="1:19" ht="12.75" thickBot="1" x14ac:dyDescent="0.25">
      <c r="A8" s="5" t="s">
        <v>8</v>
      </c>
      <c r="B8" s="14">
        <v>12788</v>
      </c>
      <c r="C8" s="32">
        <f t="shared" si="0"/>
        <v>5800.5344960000002</v>
      </c>
      <c r="D8" s="14">
        <v>5323</v>
      </c>
      <c r="E8" s="32">
        <f t="shared" si="1"/>
        <v>2414.4702160000002</v>
      </c>
      <c r="F8" s="14">
        <v>69</v>
      </c>
      <c r="G8" s="32">
        <f t="shared" si="2"/>
        <v>31.297847999999998</v>
      </c>
      <c r="H8" s="14">
        <v>717</v>
      </c>
      <c r="I8" s="32">
        <f t="shared" si="3"/>
        <v>325.22546399999999</v>
      </c>
      <c r="J8" s="14">
        <v>225</v>
      </c>
      <c r="K8" s="32">
        <f t="shared" si="4"/>
        <v>102.0582</v>
      </c>
      <c r="L8" s="43" t="s">
        <v>68</v>
      </c>
    </row>
    <row r="9" spans="1:19" x14ac:dyDescent="0.2">
      <c r="A9" s="5" t="s">
        <v>9</v>
      </c>
      <c r="B9" s="15">
        <v>12750</v>
      </c>
      <c r="C9" s="31">
        <f t="shared" si="0"/>
        <v>5783.2979999999998</v>
      </c>
      <c r="D9" s="15">
        <v>5810</v>
      </c>
      <c r="E9" s="31">
        <f t="shared" si="1"/>
        <v>2635.3695200000002</v>
      </c>
      <c r="F9" s="15">
        <v>191</v>
      </c>
      <c r="G9" s="31">
        <f t="shared" si="2"/>
        <v>86.636071999999999</v>
      </c>
      <c r="H9" s="15">
        <v>842</v>
      </c>
      <c r="I9" s="31">
        <f t="shared" si="3"/>
        <v>381.924464</v>
      </c>
      <c r="J9" s="15">
        <v>224</v>
      </c>
      <c r="K9" s="31">
        <f t="shared" si="4"/>
        <v>101.604608</v>
      </c>
    </row>
    <row r="10" spans="1:19" x14ac:dyDescent="0.2">
      <c r="A10" s="5" t="s">
        <v>10</v>
      </c>
      <c r="B10" s="13">
        <v>11123</v>
      </c>
      <c r="C10" s="3">
        <f t="shared" si="0"/>
        <v>5045.3038159999996</v>
      </c>
      <c r="D10" s="13">
        <v>5912</v>
      </c>
      <c r="E10" s="3">
        <f t="shared" si="1"/>
        <v>2681.6359039999998</v>
      </c>
      <c r="F10" s="13">
        <v>138</v>
      </c>
      <c r="G10" s="3">
        <f t="shared" si="2"/>
        <v>62.595695999999997</v>
      </c>
      <c r="H10" s="13">
        <v>921</v>
      </c>
      <c r="I10" s="3">
        <f t="shared" si="3"/>
        <v>417.75823200000002</v>
      </c>
      <c r="J10" s="13">
        <v>369</v>
      </c>
      <c r="K10" s="3">
        <f t="shared" si="4"/>
        <v>167.37544800000001</v>
      </c>
    </row>
    <row r="11" spans="1:19" x14ac:dyDescent="0.2">
      <c r="A11" s="5" t="s">
        <v>11</v>
      </c>
      <c r="B11" s="13">
        <v>11839</v>
      </c>
      <c r="C11" s="3">
        <f t="shared" si="0"/>
        <v>5370.0756879999999</v>
      </c>
      <c r="D11" s="13">
        <v>5441</v>
      </c>
      <c r="E11" s="3">
        <f t="shared" si="1"/>
        <v>2467.994072</v>
      </c>
      <c r="F11" s="13">
        <v>196</v>
      </c>
      <c r="G11" s="3">
        <f t="shared" si="2"/>
        <v>88.904032000000001</v>
      </c>
      <c r="H11" s="13">
        <v>959</v>
      </c>
      <c r="I11" s="3">
        <f t="shared" si="3"/>
        <v>434.99472800000001</v>
      </c>
      <c r="J11" s="13">
        <v>548</v>
      </c>
      <c r="K11" s="3">
        <f t="shared" si="4"/>
        <v>248.56841599999998</v>
      </c>
    </row>
    <row r="12" spans="1:19" ht="12.75" thickBot="1" x14ac:dyDescent="0.25">
      <c r="A12" s="5" t="s">
        <v>12</v>
      </c>
      <c r="B12" s="14">
        <v>12385</v>
      </c>
      <c r="C12" s="32">
        <f t="shared" si="0"/>
        <v>5617.7369200000003</v>
      </c>
      <c r="D12" s="14">
        <v>6406</v>
      </c>
      <c r="E12" s="32">
        <f t="shared" si="1"/>
        <v>2905.7103520000001</v>
      </c>
      <c r="F12" s="14">
        <v>243</v>
      </c>
      <c r="G12" s="32">
        <f t="shared" si="2"/>
        <v>110.22285599999999</v>
      </c>
      <c r="H12" s="14">
        <v>1036</v>
      </c>
      <c r="I12" s="32">
        <f t="shared" si="3"/>
        <v>469.921312</v>
      </c>
      <c r="J12" s="14">
        <v>689</v>
      </c>
      <c r="K12" s="32">
        <f t="shared" si="4"/>
        <v>312.52488799999998</v>
      </c>
      <c r="L12" s="43" t="s">
        <v>67</v>
      </c>
    </row>
    <row r="13" spans="1:19" x14ac:dyDescent="0.2">
      <c r="A13" s="5" t="s">
        <v>13</v>
      </c>
      <c r="B13" s="15">
        <v>11834</v>
      </c>
      <c r="C13" s="31">
        <f t="shared" si="0"/>
        <v>5367.8077279999998</v>
      </c>
      <c r="D13" s="15">
        <v>7391</v>
      </c>
      <c r="E13" s="31">
        <f t="shared" si="1"/>
        <v>3352.4984719999998</v>
      </c>
      <c r="F13" s="15">
        <v>323</v>
      </c>
      <c r="G13" s="31">
        <f t="shared" si="2"/>
        <v>146.51021599999999</v>
      </c>
      <c r="H13" s="15">
        <v>1057</v>
      </c>
      <c r="I13" s="31">
        <f t="shared" si="3"/>
        <v>479.44674399999997</v>
      </c>
      <c r="J13" s="15">
        <v>704</v>
      </c>
      <c r="K13" s="31">
        <f t="shared" si="4"/>
        <v>319.32876799999997</v>
      </c>
    </row>
    <row r="14" spans="1:19" x14ac:dyDescent="0.2">
      <c r="A14" s="5" t="s">
        <v>3</v>
      </c>
      <c r="B14" s="13">
        <v>10709</v>
      </c>
      <c r="C14" s="3">
        <f t="shared" si="0"/>
        <v>4857.5167279999996</v>
      </c>
      <c r="D14" s="13">
        <v>8326</v>
      </c>
      <c r="E14" s="3">
        <f t="shared" si="1"/>
        <v>3776.606992</v>
      </c>
      <c r="F14" s="13">
        <v>490</v>
      </c>
      <c r="G14" s="3">
        <f t="shared" si="2"/>
        <v>222.26007999999999</v>
      </c>
      <c r="H14" s="13">
        <v>1130</v>
      </c>
      <c r="I14" s="3">
        <f t="shared" si="3"/>
        <v>512.55895999999996</v>
      </c>
      <c r="J14" s="13">
        <v>635</v>
      </c>
      <c r="K14" s="3">
        <f t="shared" si="4"/>
        <v>288.03091999999998</v>
      </c>
    </row>
    <row r="15" spans="1:19" x14ac:dyDescent="0.2">
      <c r="A15" s="5" t="s">
        <v>14</v>
      </c>
      <c r="B15" s="13">
        <v>10558</v>
      </c>
      <c r="C15" s="3">
        <f t="shared" si="0"/>
        <v>4789.0243360000004</v>
      </c>
      <c r="D15" s="13">
        <v>8206</v>
      </c>
      <c r="E15" s="3">
        <f t="shared" si="1"/>
        <v>3722.1759520000001</v>
      </c>
      <c r="F15" s="13">
        <v>683</v>
      </c>
      <c r="G15" s="3">
        <f t="shared" si="2"/>
        <v>309.803336</v>
      </c>
      <c r="H15" s="13">
        <v>1142</v>
      </c>
      <c r="I15" s="3">
        <f t="shared" si="3"/>
        <v>518.00206400000002</v>
      </c>
      <c r="J15" s="13">
        <v>656</v>
      </c>
      <c r="K15" s="3">
        <f t="shared" si="4"/>
        <v>297.556352</v>
      </c>
    </row>
    <row r="16" spans="1:19" x14ac:dyDescent="0.2">
      <c r="A16" s="5" t="s">
        <v>15</v>
      </c>
      <c r="B16" s="13">
        <v>10639</v>
      </c>
      <c r="C16" s="3">
        <f t="shared" si="0"/>
        <v>4825.7652879999996</v>
      </c>
      <c r="D16" s="13">
        <v>8546</v>
      </c>
      <c r="E16" s="3">
        <f t="shared" si="1"/>
        <v>3876.3972319999998</v>
      </c>
      <c r="F16" s="13">
        <v>703</v>
      </c>
      <c r="G16" s="3">
        <f t="shared" si="2"/>
        <v>318.87517600000001</v>
      </c>
      <c r="H16" s="13">
        <v>1154</v>
      </c>
      <c r="I16" s="3">
        <f t="shared" si="3"/>
        <v>523.44516799999997</v>
      </c>
      <c r="J16" s="13">
        <v>627</v>
      </c>
      <c r="K16" s="3">
        <f t="shared" si="4"/>
        <v>284.40218399999998</v>
      </c>
    </row>
    <row r="17" spans="1:12" x14ac:dyDescent="0.2">
      <c r="A17" s="5" t="s">
        <v>16</v>
      </c>
      <c r="B17" s="13">
        <v>10984</v>
      </c>
      <c r="C17" s="3">
        <f t="shared" si="0"/>
        <v>4982.2545280000004</v>
      </c>
      <c r="D17" s="13">
        <v>7390</v>
      </c>
      <c r="E17" s="3">
        <f t="shared" si="1"/>
        <v>3352.0448799999999</v>
      </c>
      <c r="F17" s="13">
        <v>641</v>
      </c>
      <c r="G17" s="3">
        <f t="shared" si="2"/>
        <v>290.75247200000001</v>
      </c>
      <c r="H17" s="13">
        <v>1108</v>
      </c>
      <c r="I17" s="3">
        <f t="shared" si="3"/>
        <v>502.57993599999998</v>
      </c>
      <c r="J17" s="13">
        <v>664</v>
      </c>
      <c r="K17" s="3">
        <f t="shared" si="4"/>
        <v>301.18508800000001</v>
      </c>
    </row>
    <row r="18" spans="1:12" s="39" customFormat="1" ht="12.75" thickBot="1" x14ac:dyDescent="0.25">
      <c r="A18" s="5" t="s">
        <v>17</v>
      </c>
      <c r="B18" s="9">
        <v>11747</v>
      </c>
      <c r="C18" s="9">
        <f t="shared" si="0"/>
        <v>5328.3452239999997</v>
      </c>
      <c r="D18" s="9">
        <v>7578</v>
      </c>
      <c r="E18" s="9">
        <f t="shared" si="1"/>
        <v>3437.3201760000002</v>
      </c>
      <c r="F18" s="9">
        <v>780</v>
      </c>
      <c r="G18" s="9">
        <f t="shared" si="2"/>
        <v>353.80176</v>
      </c>
      <c r="H18" s="9">
        <v>1258</v>
      </c>
      <c r="I18" s="9">
        <f t="shared" si="3"/>
        <v>570.61873600000001</v>
      </c>
      <c r="J18" s="9">
        <v>772</v>
      </c>
      <c r="K18" s="9">
        <f t="shared" si="4"/>
        <v>350.173024</v>
      </c>
      <c r="L18" s="48" t="s">
        <v>66</v>
      </c>
    </row>
    <row r="19" spans="1:12" x14ac:dyDescent="0.2">
      <c r="A19" s="5" t="s">
        <v>18</v>
      </c>
      <c r="B19" s="17"/>
      <c r="C19" s="31">
        <v>5310</v>
      </c>
      <c r="D19" s="15"/>
      <c r="E19" s="31">
        <v>3485</v>
      </c>
      <c r="F19" s="15"/>
      <c r="G19" s="31">
        <v>421</v>
      </c>
      <c r="H19" s="15"/>
      <c r="I19" s="31">
        <v>593</v>
      </c>
      <c r="J19" s="15"/>
      <c r="K19" s="31">
        <v>319</v>
      </c>
    </row>
    <row r="20" spans="1:12" x14ac:dyDescent="0.2">
      <c r="A20" s="5" t="s">
        <v>19</v>
      </c>
      <c r="B20" s="18"/>
      <c r="C20" s="3">
        <v>6012</v>
      </c>
      <c r="D20" s="13"/>
      <c r="E20" s="3">
        <v>3585</v>
      </c>
      <c r="F20" s="13"/>
      <c r="G20" s="3">
        <v>471</v>
      </c>
      <c r="H20" s="13"/>
      <c r="I20" s="3">
        <v>582</v>
      </c>
      <c r="J20" s="13"/>
      <c r="K20" s="3">
        <v>382</v>
      </c>
    </row>
    <row r="21" spans="1:12" x14ac:dyDescent="0.2">
      <c r="A21" s="5" t="s">
        <v>20</v>
      </c>
      <c r="B21" s="18"/>
      <c r="C21" s="3">
        <v>7326</v>
      </c>
      <c r="D21" s="13"/>
      <c r="E21" s="3">
        <v>4082</v>
      </c>
      <c r="F21" s="13"/>
      <c r="G21" s="3">
        <v>528</v>
      </c>
      <c r="H21" s="13"/>
      <c r="I21" s="3">
        <v>673</v>
      </c>
      <c r="J21" s="13"/>
      <c r="K21" s="3">
        <v>484</v>
      </c>
    </row>
    <row r="22" spans="1:12" ht="12.75" thickBot="1" x14ac:dyDescent="0.25">
      <c r="A22" s="5" t="s">
        <v>21</v>
      </c>
      <c r="B22" s="19"/>
      <c r="C22" s="32">
        <v>8012</v>
      </c>
      <c r="D22" s="14"/>
      <c r="E22" s="32">
        <v>4443</v>
      </c>
      <c r="F22" s="14"/>
      <c r="G22" s="32">
        <v>517</v>
      </c>
      <c r="H22" s="14"/>
      <c r="I22" s="32">
        <v>396</v>
      </c>
      <c r="J22" s="14"/>
      <c r="K22" s="32">
        <v>526</v>
      </c>
    </row>
    <row r="23" spans="1:12" ht="12.75" thickBot="1" x14ac:dyDescent="0.25">
      <c r="A23" s="5" t="s">
        <v>22</v>
      </c>
      <c r="B23" s="16"/>
      <c r="C23" s="36">
        <v>7880</v>
      </c>
      <c r="D23" s="40"/>
      <c r="E23" s="36">
        <v>4589</v>
      </c>
      <c r="F23" s="40"/>
      <c r="G23" s="36">
        <v>491</v>
      </c>
      <c r="H23" s="40"/>
      <c r="I23" s="36">
        <v>41</v>
      </c>
      <c r="J23" s="40"/>
      <c r="K23" s="36">
        <v>542</v>
      </c>
      <c r="L23" s="43" t="s">
        <v>64</v>
      </c>
    </row>
    <row r="24" spans="1:12" ht="12.75" thickBot="1" x14ac:dyDescent="0.25">
      <c r="A24" s="5" t="s">
        <v>23</v>
      </c>
      <c r="B24" s="16"/>
      <c r="C24" s="36">
        <v>8622</v>
      </c>
      <c r="D24" s="40"/>
      <c r="E24" s="36">
        <v>5064</v>
      </c>
      <c r="F24" s="40"/>
      <c r="G24" s="36">
        <v>561</v>
      </c>
      <c r="H24" s="40"/>
      <c r="I24" s="36">
        <v>34</v>
      </c>
      <c r="J24" s="40"/>
      <c r="K24" s="36">
        <v>599</v>
      </c>
    </row>
    <row r="25" spans="1:12" x14ac:dyDescent="0.2">
      <c r="A25" s="5" t="s">
        <v>24</v>
      </c>
      <c r="B25" s="17"/>
      <c r="C25" s="31">
        <v>8907</v>
      </c>
      <c r="D25" s="15"/>
      <c r="E25" s="31">
        <v>5386</v>
      </c>
      <c r="F25" s="15"/>
      <c r="G25" s="31">
        <v>680</v>
      </c>
      <c r="H25" s="15"/>
      <c r="I25" s="31">
        <v>34</v>
      </c>
      <c r="J25" s="15"/>
      <c r="K25" s="31">
        <v>760</v>
      </c>
    </row>
    <row r="26" spans="1:12" x14ac:dyDescent="0.2">
      <c r="A26" s="5" t="s">
        <v>25</v>
      </c>
      <c r="B26" s="18"/>
      <c r="C26" s="3">
        <v>8575</v>
      </c>
      <c r="D26" s="13"/>
      <c r="E26" s="3">
        <v>6267</v>
      </c>
      <c r="F26" s="13"/>
      <c r="G26" s="3">
        <v>985</v>
      </c>
      <c r="H26" s="13"/>
      <c r="I26" s="3">
        <v>39</v>
      </c>
      <c r="J26" s="13"/>
      <c r="K26" s="3">
        <v>821</v>
      </c>
    </row>
    <row r="27" spans="1:12" x14ac:dyDescent="0.2">
      <c r="A27" s="5" t="s">
        <v>26</v>
      </c>
      <c r="B27" s="18"/>
      <c r="C27" s="3">
        <v>9316</v>
      </c>
      <c r="D27" s="13"/>
      <c r="E27" s="3">
        <v>7157</v>
      </c>
      <c r="F27" s="13"/>
      <c r="G27" s="3">
        <v>1568</v>
      </c>
      <c r="H27" s="13"/>
      <c r="I27" s="3">
        <v>34</v>
      </c>
      <c r="J27" s="13"/>
      <c r="K27" s="3">
        <v>944</v>
      </c>
    </row>
    <row r="28" spans="1:12" x14ac:dyDescent="0.2">
      <c r="A28" s="5" t="s">
        <v>27</v>
      </c>
      <c r="B28" s="18"/>
      <c r="C28" s="3">
        <v>7491</v>
      </c>
      <c r="D28" s="13"/>
      <c r="E28" s="3">
        <v>7791</v>
      </c>
      <c r="F28" s="13"/>
      <c r="G28" s="3">
        <v>2725</v>
      </c>
      <c r="H28" s="13"/>
      <c r="I28" s="3">
        <v>42</v>
      </c>
      <c r="J28" s="13"/>
      <c r="K28" s="3">
        <v>930</v>
      </c>
    </row>
    <row r="29" spans="1:12" x14ac:dyDescent="0.2">
      <c r="A29" s="5" t="s">
        <v>28</v>
      </c>
      <c r="B29" s="18"/>
      <c r="C29" s="3">
        <v>8365</v>
      </c>
      <c r="D29" s="13"/>
      <c r="E29" s="3">
        <v>9421</v>
      </c>
      <c r="F29" s="13"/>
      <c r="G29" s="3">
        <v>3128</v>
      </c>
      <c r="H29" s="13"/>
      <c r="I29" s="3">
        <v>61</v>
      </c>
      <c r="J29" s="13"/>
      <c r="K29" s="3">
        <v>1039</v>
      </c>
      <c r="L29" s="43" t="s">
        <v>63</v>
      </c>
    </row>
    <row r="30" spans="1:12" x14ac:dyDescent="0.2">
      <c r="A30" s="5" t="s">
        <v>29</v>
      </c>
      <c r="B30" s="19"/>
      <c r="C30" s="46">
        <v>9963</v>
      </c>
      <c r="D30" s="49"/>
      <c r="E30" s="46">
        <v>10619</v>
      </c>
      <c r="F30" s="49"/>
      <c r="G30" s="46">
        <v>5295</v>
      </c>
      <c r="H30" s="49"/>
      <c r="I30" s="46">
        <v>110</v>
      </c>
      <c r="J30" s="49"/>
      <c r="K30" s="46">
        <v>1232</v>
      </c>
    </row>
    <row r="31" spans="1:12" ht="12.75" thickBot="1" x14ac:dyDescent="0.25">
      <c r="A31" s="5" t="s">
        <v>30</v>
      </c>
      <c r="B31" s="16"/>
      <c r="C31" s="32">
        <v>8725</v>
      </c>
      <c r="D31" s="14"/>
      <c r="E31" s="32">
        <v>12398</v>
      </c>
      <c r="F31" s="14"/>
      <c r="G31" s="32">
        <v>5276</v>
      </c>
      <c r="H31" s="14"/>
      <c r="I31" s="32">
        <v>103</v>
      </c>
      <c r="J31" s="14"/>
      <c r="K31" s="32">
        <v>1057</v>
      </c>
      <c r="L31" s="43" t="s">
        <v>62</v>
      </c>
    </row>
    <row r="32" spans="1:12" x14ac:dyDescent="0.2">
      <c r="A32" s="5" t="s">
        <v>31</v>
      </c>
      <c r="B32" s="19"/>
      <c r="C32" s="31">
        <v>8873</v>
      </c>
      <c r="D32" s="15"/>
      <c r="E32" s="31">
        <v>12725</v>
      </c>
      <c r="F32" s="15"/>
      <c r="G32" s="31">
        <v>8928</v>
      </c>
      <c r="H32" s="15"/>
      <c r="I32" s="31">
        <v>1385</v>
      </c>
      <c r="J32" s="15"/>
      <c r="K32" s="31"/>
    </row>
    <row r="33" spans="1:12" x14ac:dyDescent="0.2">
      <c r="A33" s="5" t="s">
        <v>32</v>
      </c>
      <c r="B33" s="17"/>
      <c r="C33" s="31">
        <v>7755</v>
      </c>
      <c r="D33" s="15"/>
      <c r="E33" s="31">
        <v>12465</v>
      </c>
      <c r="F33" s="15"/>
      <c r="G33" s="31">
        <v>7981</v>
      </c>
      <c r="H33" s="15"/>
      <c r="I33" s="31">
        <v>1341</v>
      </c>
      <c r="J33" s="15"/>
      <c r="K33" s="31"/>
    </row>
    <row r="34" spans="1:12" x14ac:dyDescent="0.2">
      <c r="A34" s="5" t="s">
        <v>33</v>
      </c>
      <c r="B34" s="18"/>
      <c r="C34" s="3">
        <v>8162</v>
      </c>
      <c r="D34" s="13"/>
      <c r="E34" s="3">
        <v>13279</v>
      </c>
      <c r="F34" s="13"/>
      <c r="G34" s="3">
        <v>1173</v>
      </c>
      <c r="H34" s="13"/>
      <c r="I34" s="3">
        <v>1444</v>
      </c>
      <c r="J34" s="13"/>
      <c r="K34" s="3"/>
    </row>
    <row r="35" spans="1:12" x14ac:dyDescent="0.2">
      <c r="A35" s="5" t="s">
        <v>34</v>
      </c>
      <c r="B35" s="18"/>
      <c r="C35" s="3">
        <v>3984</v>
      </c>
      <c r="D35" s="13"/>
      <c r="E35" s="3">
        <v>11598</v>
      </c>
      <c r="F35" s="13"/>
      <c r="G35" s="3">
        <v>1510</v>
      </c>
      <c r="H35" s="13"/>
      <c r="I35" s="3">
        <v>1572</v>
      </c>
      <c r="J35" s="13"/>
      <c r="K35" s="3"/>
    </row>
    <row r="36" spans="1:12" x14ac:dyDescent="0.2">
      <c r="A36" s="5" t="s">
        <v>35</v>
      </c>
      <c r="B36" s="18"/>
      <c r="C36" s="3">
        <v>10018</v>
      </c>
      <c r="D36" s="13"/>
      <c r="E36" s="3">
        <v>11323</v>
      </c>
      <c r="F36" s="13"/>
      <c r="G36" s="3">
        <v>1335</v>
      </c>
      <c r="H36" s="13"/>
      <c r="I36" s="3">
        <v>1648</v>
      </c>
      <c r="J36" s="13"/>
      <c r="K36" s="3"/>
    </row>
    <row r="37" spans="1:12" ht="12.75" thickBot="1" x14ac:dyDescent="0.25">
      <c r="A37" s="6" t="s">
        <v>36</v>
      </c>
      <c r="B37" s="20"/>
      <c r="C37" s="32">
        <v>12171</v>
      </c>
      <c r="D37" s="14"/>
      <c r="E37" s="32">
        <v>11034</v>
      </c>
      <c r="F37" s="14"/>
      <c r="G37" s="32">
        <v>1144</v>
      </c>
      <c r="H37" s="14"/>
      <c r="I37" s="32">
        <v>1694</v>
      </c>
      <c r="J37" s="14"/>
      <c r="K37" s="32"/>
      <c r="L37" s="43" t="s">
        <v>61</v>
      </c>
    </row>
    <row r="38" spans="1:12" x14ac:dyDescent="0.2">
      <c r="A38" s="6" t="s">
        <v>37</v>
      </c>
      <c r="B38" s="21"/>
      <c r="C38" s="31">
        <v>13167</v>
      </c>
      <c r="D38" s="15"/>
      <c r="E38" s="31">
        <v>10915</v>
      </c>
      <c r="F38" s="15"/>
      <c r="G38" s="31">
        <v>1173</v>
      </c>
      <c r="H38" s="15"/>
      <c r="I38" s="31">
        <v>1949</v>
      </c>
      <c r="J38" s="15"/>
      <c r="K38" s="31"/>
    </row>
    <row r="39" spans="1:12" x14ac:dyDescent="0.2">
      <c r="A39" s="6" t="s">
        <v>38</v>
      </c>
      <c r="B39" s="22"/>
      <c r="C39" s="3">
        <v>12666</v>
      </c>
      <c r="D39" s="13"/>
      <c r="E39" s="3">
        <v>9677</v>
      </c>
      <c r="F39" s="13"/>
      <c r="G39" s="3">
        <v>1118</v>
      </c>
      <c r="H39" s="13"/>
      <c r="I39" s="3">
        <v>1846</v>
      </c>
      <c r="J39" s="13"/>
      <c r="K39" s="3"/>
    </row>
    <row r="40" spans="1:12" x14ac:dyDescent="0.2">
      <c r="A40" s="6" t="s">
        <v>39</v>
      </c>
      <c r="B40" s="22"/>
      <c r="C40" s="3">
        <v>13570</v>
      </c>
      <c r="D40" s="13"/>
      <c r="E40" s="3">
        <v>9352</v>
      </c>
      <c r="F40" s="13"/>
      <c r="G40" s="3">
        <v>1586</v>
      </c>
      <c r="H40" s="13"/>
      <c r="I40" s="3">
        <v>2739</v>
      </c>
      <c r="J40" s="13"/>
      <c r="K40" s="3"/>
    </row>
    <row r="41" spans="1:12" x14ac:dyDescent="0.2">
      <c r="A41" s="6" t="s">
        <v>40</v>
      </c>
      <c r="B41" s="22"/>
      <c r="C41" s="3">
        <v>10689</v>
      </c>
      <c r="D41" s="13"/>
      <c r="E41" s="3">
        <v>12257</v>
      </c>
      <c r="F41" s="13"/>
      <c r="G41" s="3">
        <v>1555</v>
      </c>
      <c r="H41" s="13"/>
      <c r="I41" s="3">
        <v>2214</v>
      </c>
      <c r="J41" s="13"/>
      <c r="K41" s="3">
        <v>59</v>
      </c>
    </row>
    <row r="42" spans="1:12" x14ac:dyDescent="0.2">
      <c r="A42" s="6" t="s">
        <v>41</v>
      </c>
      <c r="B42" s="22"/>
      <c r="C42" s="3">
        <v>7459</v>
      </c>
      <c r="D42" s="13"/>
      <c r="E42" s="3">
        <v>14407</v>
      </c>
      <c r="F42" s="13"/>
      <c r="G42" s="3">
        <v>2583</v>
      </c>
      <c r="H42" s="13"/>
      <c r="I42" s="3">
        <v>2255</v>
      </c>
      <c r="J42" s="13"/>
      <c r="K42" s="3">
        <v>47</v>
      </c>
    </row>
    <row r="43" spans="1:12" x14ac:dyDescent="0.2">
      <c r="A43" s="6" t="s">
        <v>42</v>
      </c>
      <c r="B43" s="22"/>
      <c r="C43" s="3">
        <v>8158</v>
      </c>
      <c r="D43" s="13"/>
      <c r="E43" s="3">
        <v>15900</v>
      </c>
      <c r="F43" s="13"/>
      <c r="G43" s="3">
        <v>2205</v>
      </c>
      <c r="H43" s="13"/>
      <c r="I43" s="3">
        <v>2377</v>
      </c>
      <c r="J43" s="13"/>
      <c r="K43" s="3">
        <v>50</v>
      </c>
    </row>
    <row r="44" spans="1:12" x14ac:dyDescent="0.2">
      <c r="A44" s="6" t="s">
        <v>43</v>
      </c>
      <c r="B44" s="22"/>
      <c r="C44" s="3">
        <v>9771</v>
      </c>
      <c r="D44" s="13"/>
      <c r="E44" s="3">
        <v>15520</v>
      </c>
      <c r="F44" s="13"/>
      <c r="G44" s="3">
        <v>2289</v>
      </c>
      <c r="H44" s="13"/>
      <c r="I44" s="3">
        <v>2424</v>
      </c>
      <c r="J44" s="13"/>
      <c r="K44" s="3">
        <v>47</v>
      </c>
    </row>
    <row r="45" spans="1:12" x14ac:dyDescent="0.2">
      <c r="A45" s="6" t="s">
        <v>44</v>
      </c>
      <c r="B45" s="22"/>
      <c r="C45" s="3">
        <v>12816</v>
      </c>
      <c r="D45" s="13"/>
      <c r="E45" s="3">
        <v>13253</v>
      </c>
      <c r="F45" s="13"/>
      <c r="G45" s="3">
        <v>2477</v>
      </c>
      <c r="H45" s="13"/>
      <c r="I45" s="3">
        <v>1834</v>
      </c>
      <c r="J45" s="13"/>
      <c r="K45" s="3">
        <v>62</v>
      </c>
    </row>
    <row r="46" spans="1:12" x14ac:dyDescent="0.2">
      <c r="A46" s="6" t="s">
        <v>45</v>
      </c>
      <c r="B46" s="22"/>
      <c r="C46" s="3">
        <v>15503</v>
      </c>
      <c r="D46" s="13"/>
      <c r="E46" s="3">
        <v>13281</v>
      </c>
      <c r="F46" s="13"/>
      <c r="G46" s="3">
        <v>2118</v>
      </c>
      <c r="H46" s="13"/>
      <c r="I46" s="3">
        <v>1695</v>
      </c>
      <c r="J46" s="13"/>
      <c r="K46" s="3">
        <v>179</v>
      </c>
    </row>
    <row r="47" spans="1:12" ht="12.75" thickBot="1" x14ac:dyDescent="0.25">
      <c r="A47" s="6" t="s">
        <v>46</v>
      </c>
      <c r="B47" s="20"/>
      <c r="C47" s="32">
        <v>16294</v>
      </c>
      <c r="D47" s="14"/>
      <c r="E47" s="32">
        <v>11895</v>
      </c>
      <c r="F47" s="14"/>
      <c r="G47" s="32">
        <v>1986</v>
      </c>
      <c r="H47" s="14"/>
      <c r="I47" s="32">
        <v>1567</v>
      </c>
      <c r="J47" s="14"/>
      <c r="K47" s="32">
        <v>59</v>
      </c>
      <c r="L47" s="43" t="s">
        <v>55</v>
      </c>
    </row>
    <row r="48" spans="1:12" x14ac:dyDescent="0.2">
      <c r="A48" s="6" t="s">
        <v>47</v>
      </c>
      <c r="B48" s="23"/>
      <c r="C48" s="31">
        <v>12666</v>
      </c>
      <c r="D48" s="15"/>
      <c r="E48" s="31">
        <v>9677</v>
      </c>
      <c r="F48" s="15"/>
      <c r="G48" s="31">
        <v>1118</v>
      </c>
      <c r="H48" s="15"/>
      <c r="I48" s="31">
        <v>1846</v>
      </c>
      <c r="J48" s="15"/>
      <c r="K48" s="31">
        <v>0</v>
      </c>
    </row>
    <row r="49" spans="1:12" ht="12.75" thickBot="1" x14ac:dyDescent="0.25">
      <c r="A49" s="6" t="s">
        <v>48</v>
      </c>
      <c r="B49" s="23"/>
      <c r="C49" s="32">
        <v>13202</v>
      </c>
      <c r="D49" s="14"/>
      <c r="E49" s="32">
        <v>13602</v>
      </c>
      <c r="F49" s="14"/>
      <c r="G49" s="32">
        <v>1987</v>
      </c>
      <c r="H49" s="14"/>
      <c r="I49" s="32">
        <v>1598</v>
      </c>
      <c r="J49" s="14"/>
      <c r="K49" s="32">
        <v>49</v>
      </c>
      <c r="L49" s="47" t="s">
        <v>49</v>
      </c>
    </row>
    <row r="50" spans="1:12" x14ac:dyDescent="0.2">
      <c r="A50" s="7" t="s">
        <v>73</v>
      </c>
      <c r="B50" s="23"/>
    </row>
  </sheetData>
  <mergeCells count="2">
    <mergeCell ref="C2:K2"/>
    <mergeCell ref="C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ColWidth="9.140625" defaultRowHeight="12" x14ac:dyDescent="0.2"/>
  <cols>
    <col min="1" max="1" width="17.85546875" style="1" customWidth="1"/>
    <col min="2" max="2" width="17.85546875" style="11" hidden="1" customWidth="1"/>
    <col min="3" max="3" width="13.7109375" style="1" customWidth="1"/>
    <col min="4" max="4" width="13.7109375" style="11" hidden="1" customWidth="1"/>
    <col min="5" max="5" width="13.7109375" style="1" customWidth="1"/>
    <col min="6" max="6" width="13.7109375" style="11" hidden="1" customWidth="1"/>
    <col min="7" max="7" width="13.7109375" style="1" customWidth="1"/>
    <col min="8" max="8" width="13.7109375" style="11" hidden="1" customWidth="1"/>
    <col min="9" max="9" width="13.7109375" style="1" customWidth="1"/>
    <col min="10" max="10" width="13.7109375" style="11" hidden="1" customWidth="1"/>
    <col min="11" max="11" width="13.7109375" style="1" customWidth="1"/>
    <col min="12" max="12" width="9.140625" style="1"/>
    <col min="13" max="13" width="9.140625" style="43"/>
    <col min="14" max="16384" width="9.140625" style="1"/>
  </cols>
  <sheetData>
    <row r="1" spans="1:19" x14ac:dyDescent="0.2">
      <c r="A1" s="4"/>
    </row>
    <row r="2" spans="1:19" ht="24" x14ac:dyDescent="0.2">
      <c r="A2" s="25" t="s">
        <v>4</v>
      </c>
      <c r="B2" s="26"/>
      <c r="C2" s="313" t="s">
        <v>57</v>
      </c>
      <c r="D2" s="314"/>
      <c r="E2" s="314"/>
      <c r="F2" s="314"/>
      <c r="G2" s="314"/>
      <c r="H2" s="314"/>
      <c r="I2" s="314"/>
      <c r="J2" s="314"/>
      <c r="K2" s="314"/>
      <c r="L2" s="315"/>
    </row>
    <row r="3" spans="1:19" ht="24" x14ac:dyDescent="0.2">
      <c r="A3" s="3"/>
      <c r="B3" s="13"/>
      <c r="C3" s="37" t="s">
        <v>51</v>
      </c>
      <c r="D3" s="38"/>
      <c r="E3" s="29" t="s">
        <v>52</v>
      </c>
      <c r="F3" s="30"/>
      <c r="G3" s="29" t="s">
        <v>53</v>
      </c>
      <c r="H3" s="30"/>
      <c r="I3" s="29" t="s">
        <v>54</v>
      </c>
      <c r="J3" s="30"/>
      <c r="K3" s="37" t="s">
        <v>0</v>
      </c>
      <c r="L3" s="29" t="s">
        <v>60</v>
      </c>
      <c r="M3" s="43" t="s">
        <v>74</v>
      </c>
    </row>
    <row r="4" spans="1:19" s="2" customFormat="1" x14ac:dyDescent="0.2">
      <c r="A4" s="24"/>
      <c r="B4" s="41">
        <v>0.453592</v>
      </c>
      <c r="C4" s="319" t="s">
        <v>86</v>
      </c>
      <c r="D4" s="320"/>
      <c r="E4" s="320"/>
      <c r="F4" s="320"/>
      <c r="G4" s="320"/>
      <c r="H4" s="320"/>
      <c r="I4" s="320"/>
      <c r="J4" s="320"/>
      <c r="K4" s="320"/>
      <c r="L4" s="321"/>
      <c r="M4" s="44"/>
      <c r="N4" s="39"/>
      <c r="O4" s="39"/>
      <c r="P4" s="39"/>
      <c r="Q4" s="39"/>
      <c r="R4" s="34"/>
      <c r="S4" s="34"/>
    </row>
    <row r="5" spans="1:19" x14ac:dyDescent="0.2">
      <c r="A5" s="5" t="s">
        <v>5</v>
      </c>
      <c r="B5" s="13">
        <v>5749</v>
      </c>
      <c r="C5" s="3">
        <f t="shared" ref="C5:C18" si="0">B5*$B$4</f>
        <v>2607.7004080000002</v>
      </c>
      <c r="D5" s="13">
        <v>0</v>
      </c>
      <c r="E5" s="3">
        <f t="shared" ref="E5:E18" si="1">D5*$B$4</f>
        <v>0</v>
      </c>
      <c r="F5" s="13">
        <v>0</v>
      </c>
      <c r="G5" s="3">
        <f t="shared" ref="G5:G18" si="2">F5*$B$4</f>
        <v>0</v>
      </c>
      <c r="H5" s="13">
        <v>0</v>
      </c>
      <c r="I5" s="3">
        <f t="shared" ref="I5:I18" si="3">H5*$B$4</f>
        <v>0</v>
      </c>
      <c r="J5" s="13">
        <v>315</v>
      </c>
      <c r="K5" s="3">
        <f t="shared" ref="K5:K22" si="4">J5*$B$4</f>
        <v>142.88148000000001</v>
      </c>
      <c r="L5" s="3"/>
    </row>
    <row r="6" spans="1:19" x14ac:dyDescent="0.2">
      <c r="A6" s="5" t="s">
        <v>6</v>
      </c>
      <c r="B6" s="13">
        <v>5595</v>
      </c>
      <c r="C6" s="3">
        <f t="shared" si="0"/>
        <v>2537.8472400000001</v>
      </c>
      <c r="D6" s="13">
        <v>0</v>
      </c>
      <c r="E6" s="3">
        <f t="shared" si="1"/>
        <v>0</v>
      </c>
      <c r="F6" s="13">
        <v>0</v>
      </c>
      <c r="G6" s="3">
        <f t="shared" si="2"/>
        <v>0</v>
      </c>
      <c r="H6" s="13">
        <v>0</v>
      </c>
      <c r="I6" s="3">
        <f t="shared" si="3"/>
        <v>0</v>
      </c>
      <c r="J6" s="13">
        <v>617</v>
      </c>
      <c r="K6" s="3">
        <f t="shared" si="4"/>
        <v>279.866264</v>
      </c>
      <c r="L6" s="3"/>
    </row>
    <row r="7" spans="1:19" x14ac:dyDescent="0.2">
      <c r="A7" s="5" t="s">
        <v>7</v>
      </c>
      <c r="B7" s="13">
        <v>7257</v>
      </c>
      <c r="C7" s="3">
        <f t="shared" si="0"/>
        <v>3291.7171440000002</v>
      </c>
      <c r="D7" s="13">
        <v>0</v>
      </c>
      <c r="E7" s="3">
        <f t="shared" si="1"/>
        <v>0</v>
      </c>
      <c r="F7" s="13">
        <v>0</v>
      </c>
      <c r="G7" s="3">
        <f t="shared" si="2"/>
        <v>0</v>
      </c>
      <c r="H7" s="13">
        <v>0</v>
      </c>
      <c r="I7" s="3">
        <f t="shared" si="3"/>
        <v>0</v>
      </c>
      <c r="J7" s="13">
        <v>282</v>
      </c>
      <c r="K7" s="3">
        <f t="shared" si="4"/>
        <v>127.912944</v>
      </c>
      <c r="L7" s="3"/>
    </row>
    <row r="8" spans="1:19" ht="12.75" thickBot="1" x14ac:dyDescent="0.25">
      <c r="A8" s="5" t="s">
        <v>8</v>
      </c>
      <c r="B8" s="14">
        <v>6884</v>
      </c>
      <c r="C8" s="32">
        <f t="shared" si="0"/>
        <v>3122.5273280000001</v>
      </c>
      <c r="D8" s="14">
        <v>645</v>
      </c>
      <c r="E8" s="32">
        <f t="shared" si="1"/>
        <v>292.56684000000001</v>
      </c>
      <c r="F8" s="14">
        <v>6</v>
      </c>
      <c r="G8" s="32">
        <f t="shared" si="2"/>
        <v>2.721552</v>
      </c>
      <c r="H8" s="14">
        <v>2</v>
      </c>
      <c r="I8" s="32">
        <f t="shared" si="3"/>
        <v>0.90718399999999999</v>
      </c>
      <c r="J8" s="14">
        <v>223</v>
      </c>
      <c r="K8" s="32">
        <f t="shared" si="4"/>
        <v>101.151016</v>
      </c>
      <c r="L8" s="32"/>
      <c r="M8" s="43" t="s">
        <v>68</v>
      </c>
    </row>
    <row r="9" spans="1:19" x14ac:dyDescent="0.2">
      <c r="A9" s="5" t="s">
        <v>9</v>
      </c>
      <c r="B9" s="15">
        <v>3044</v>
      </c>
      <c r="C9" s="31">
        <f t="shared" si="0"/>
        <v>1380.734048</v>
      </c>
      <c r="D9" s="15">
        <v>5303</v>
      </c>
      <c r="E9" s="31">
        <f t="shared" si="1"/>
        <v>2405.3983760000001</v>
      </c>
      <c r="F9" s="15">
        <v>148</v>
      </c>
      <c r="G9" s="31">
        <f t="shared" si="2"/>
        <v>67.131615999999994</v>
      </c>
      <c r="H9" s="15">
        <v>3</v>
      </c>
      <c r="I9" s="31">
        <f t="shared" si="3"/>
        <v>1.360776</v>
      </c>
      <c r="J9" s="15">
        <v>251</v>
      </c>
      <c r="K9" s="31">
        <f t="shared" si="4"/>
        <v>113.851592</v>
      </c>
      <c r="L9" s="31"/>
    </row>
    <row r="10" spans="1:19" x14ac:dyDescent="0.2">
      <c r="A10" s="5" t="s">
        <v>10</v>
      </c>
      <c r="B10" s="13">
        <v>3624</v>
      </c>
      <c r="C10" s="3">
        <f t="shared" si="0"/>
        <v>1643.8174079999999</v>
      </c>
      <c r="D10" s="13">
        <v>4160</v>
      </c>
      <c r="E10" s="3">
        <f t="shared" si="1"/>
        <v>1886.94272</v>
      </c>
      <c r="F10" s="13">
        <v>133</v>
      </c>
      <c r="G10" s="3">
        <f t="shared" si="2"/>
        <v>60.327736000000002</v>
      </c>
      <c r="H10" s="13">
        <v>8</v>
      </c>
      <c r="I10" s="3">
        <f t="shared" si="3"/>
        <v>3.628736</v>
      </c>
      <c r="J10" s="13">
        <v>307</v>
      </c>
      <c r="K10" s="3">
        <f t="shared" si="4"/>
        <v>139.25274400000001</v>
      </c>
      <c r="L10" s="3"/>
    </row>
    <row r="11" spans="1:19" ht="12.75" thickBot="1" x14ac:dyDescent="0.25">
      <c r="A11" s="5" t="s">
        <v>11</v>
      </c>
      <c r="B11" s="14">
        <v>6283</v>
      </c>
      <c r="C11" s="32">
        <f t="shared" si="0"/>
        <v>2849.9185360000001</v>
      </c>
      <c r="D11" s="14">
        <v>2054</v>
      </c>
      <c r="E11" s="32">
        <f t="shared" si="1"/>
        <v>931.67796799999996</v>
      </c>
      <c r="F11" s="14">
        <v>426</v>
      </c>
      <c r="G11" s="32">
        <f t="shared" si="2"/>
        <v>193.23019199999999</v>
      </c>
      <c r="H11" s="14">
        <v>0</v>
      </c>
      <c r="I11" s="32">
        <f t="shared" si="3"/>
        <v>0</v>
      </c>
      <c r="J11" s="14">
        <v>325</v>
      </c>
      <c r="K11" s="32">
        <f t="shared" si="4"/>
        <v>147.41739999999999</v>
      </c>
      <c r="L11" s="32"/>
      <c r="M11" s="43" t="s">
        <v>67</v>
      </c>
    </row>
    <row r="12" spans="1:19" x14ac:dyDescent="0.2">
      <c r="A12" s="5" t="s">
        <v>12</v>
      </c>
      <c r="B12" s="15">
        <v>6100</v>
      </c>
      <c r="C12" s="31">
        <f t="shared" si="0"/>
        <v>2766.9112</v>
      </c>
      <c r="D12" s="15">
        <v>2690</v>
      </c>
      <c r="E12" s="31">
        <f t="shared" si="1"/>
        <v>1220.16248</v>
      </c>
      <c r="F12" s="15">
        <v>758</v>
      </c>
      <c r="G12" s="31">
        <f t="shared" si="2"/>
        <v>343.82273600000002</v>
      </c>
      <c r="H12" s="15">
        <v>0</v>
      </c>
      <c r="I12" s="31">
        <f t="shared" si="3"/>
        <v>0</v>
      </c>
      <c r="J12" s="15">
        <v>300</v>
      </c>
      <c r="K12" s="31">
        <f t="shared" si="4"/>
        <v>136.07759999999999</v>
      </c>
      <c r="L12" s="31"/>
    </row>
    <row r="13" spans="1:19" x14ac:dyDescent="0.2">
      <c r="A13" s="5" t="s">
        <v>13</v>
      </c>
      <c r="B13" s="13">
        <v>5251</v>
      </c>
      <c r="C13" s="3">
        <f t="shared" si="0"/>
        <v>2381.811592</v>
      </c>
      <c r="D13" s="13">
        <v>3720</v>
      </c>
      <c r="E13" s="3">
        <f t="shared" si="1"/>
        <v>1687.3622399999999</v>
      </c>
      <c r="F13" s="13">
        <v>789</v>
      </c>
      <c r="G13" s="3">
        <f t="shared" si="2"/>
        <v>357.88408800000002</v>
      </c>
      <c r="H13" s="13">
        <v>0</v>
      </c>
      <c r="I13" s="3">
        <f t="shared" si="3"/>
        <v>0</v>
      </c>
      <c r="J13" s="13">
        <v>388</v>
      </c>
      <c r="K13" s="3">
        <f t="shared" si="4"/>
        <v>175.993696</v>
      </c>
      <c r="L13" s="3"/>
    </row>
    <row r="14" spans="1:19" x14ac:dyDescent="0.2">
      <c r="A14" s="5" t="s">
        <v>3</v>
      </c>
      <c r="B14" s="13">
        <v>1928</v>
      </c>
      <c r="C14" s="3">
        <f t="shared" si="0"/>
        <v>874.52537599999994</v>
      </c>
      <c r="D14" s="13">
        <v>6948</v>
      </c>
      <c r="E14" s="3">
        <f t="shared" si="1"/>
        <v>3151.5572160000002</v>
      </c>
      <c r="F14" s="13">
        <v>9</v>
      </c>
      <c r="G14" s="3">
        <f t="shared" si="2"/>
        <v>4.0823280000000004</v>
      </c>
      <c r="H14" s="13">
        <v>0</v>
      </c>
      <c r="I14" s="3">
        <f t="shared" si="3"/>
        <v>0</v>
      </c>
      <c r="J14" s="13">
        <v>761</v>
      </c>
      <c r="K14" s="3">
        <f t="shared" si="4"/>
        <v>345.18351200000001</v>
      </c>
      <c r="L14" s="3"/>
    </row>
    <row r="15" spans="1:19" x14ac:dyDescent="0.2">
      <c r="A15" s="5" t="s">
        <v>14</v>
      </c>
      <c r="B15" s="13">
        <v>1365</v>
      </c>
      <c r="C15" s="3">
        <f t="shared" si="0"/>
        <v>619.15308000000005</v>
      </c>
      <c r="D15" s="13">
        <v>6117</v>
      </c>
      <c r="E15" s="3">
        <f t="shared" si="1"/>
        <v>2774.6222640000001</v>
      </c>
      <c r="F15" s="13">
        <v>874</v>
      </c>
      <c r="G15" s="3">
        <f t="shared" si="2"/>
        <v>396.43940800000001</v>
      </c>
      <c r="H15" s="13">
        <v>2</v>
      </c>
      <c r="I15" s="3">
        <f t="shared" si="3"/>
        <v>0.90718399999999999</v>
      </c>
      <c r="J15" s="13">
        <v>1145</v>
      </c>
      <c r="K15" s="3">
        <f t="shared" si="4"/>
        <v>519.36284000000001</v>
      </c>
      <c r="L15" s="3"/>
    </row>
    <row r="16" spans="1:19" x14ac:dyDescent="0.2">
      <c r="A16" s="5" t="s">
        <v>15</v>
      </c>
      <c r="B16" s="13">
        <v>1243</v>
      </c>
      <c r="C16" s="3">
        <f t="shared" si="0"/>
        <v>563.81485599999996</v>
      </c>
      <c r="D16" s="13">
        <v>7186</v>
      </c>
      <c r="E16" s="3">
        <f t="shared" si="1"/>
        <v>3259.5121119999999</v>
      </c>
      <c r="F16" s="13">
        <v>301</v>
      </c>
      <c r="G16" s="3">
        <f t="shared" si="2"/>
        <v>136.531192</v>
      </c>
      <c r="H16" s="13">
        <v>103</v>
      </c>
      <c r="I16" s="3">
        <f t="shared" si="3"/>
        <v>46.719976000000003</v>
      </c>
      <c r="J16" s="13">
        <v>1297</v>
      </c>
      <c r="K16" s="3">
        <f t="shared" si="4"/>
        <v>588.30882399999996</v>
      </c>
      <c r="L16" s="3"/>
    </row>
    <row r="17" spans="1:13" x14ac:dyDescent="0.2">
      <c r="A17" s="5" t="s">
        <v>16</v>
      </c>
      <c r="B17" s="13">
        <v>717</v>
      </c>
      <c r="C17" s="3">
        <f t="shared" si="0"/>
        <v>325.22546399999999</v>
      </c>
      <c r="D17" s="13">
        <v>7664</v>
      </c>
      <c r="E17" s="3">
        <f t="shared" si="1"/>
        <v>3476.329088</v>
      </c>
      <c r="F17" s="13">
        <v>95</v>
      </c>
      <c r="G17" s="3">
        <f t="shared" si="2"/>
        <v>43.091239999999999</v>
      </c>
      <c r="H17" s="13">
        <v>0</v>
      </c>
      <c r="I17" s="3">
        <f t="shared" si="3"/>
        <v>0</v>
      </c>
      <c r="J17" s="13">
        <v>2275</v>
      </c>
      <c r="K17" s="3">
        <f t="shared" si="4"/>
        <v>1031.9218000000001</v>
      </c>
      <c r="L17" s="3"/>
    </row>
    <row r="18" spans="1:13" s="39" customFormat="1" ht="12.75" thickBot="1" x14ac:dyDescent="0.25">
      <c r="A18" s="5" t="s">
        <v>17</v>
      </c>
      <c r="B18" s="8">
        <v>739</v>
      </c>
      <c r="C18" s="9">
        <f t="shared" si="0"/>
        <v>335.20448799999997</v>
      </c>
      <c r="D18" s="9">
        <v>8328</v>
      </c>
      <c r="E18" s="9">
        <f t="shared" si="1"/>
        <v>3777.5141760000001</v>
      </c>
      <c r="F18" s="9">
        <v>232</v>
      </c>
      <c r="G18" s="9">
        <f t="shared" si="2"/>
        <v>105.233344</v>
      </c>
      <c r="H18" s="9">
        <v>0</v>
      </c>
      <c r="I18" s="9">
        <f t="shared" si="3"/>
        <v>0</v>
      </c>
      <c r="J18" s="9">
        <v>2345</v>
      </c>
      <c r="K18" s="9">
        <f t="shared" si="4"/>
        <v>1063.6732400000001</v>
      </c>
      <c r="L18" s="9"/>
      <c r="M18" s="48" t="s">
        <v>66</v>
      </c>
    </row>
    <row r="19" spans="1:13" x14ac:dyDescent="0.2">
      <c r="A19" s="5" t="s">
        <v>18</v>
      </c>
      <c r="B19" s="18"/>
      <c r="C19" s="31">
        <v>443</v>
      </c>
      <c r="D19" s="15"/>
      <c r="E19" s="31">
        <v>4341</v>
      </c>
      <c r="F19" s="15"/>
      <c r="G19" s="31">
        <v>115</v>
      </c>
      <c r="H19" s="15"/>
      <c r="I19" s="31">
        <v>894</v>
      </c>
      <c r="J19" s="15">
        <v>1971</v>
      </c>
      <c r="K19" s="31">
        <f t="shared" si="4"/>
        <v>894.02983199999994</v>
      </c>
      <c r="L19" s="31"/>
    </row>
    <row r="20" spans="1:13" x14ac:dyDescent="0.2">
      <c r="A20" s="5" t="s">
        <v>19</v>
      </c>
      <c r="B20" s="18"/>
      <c r="C20" s="3">
        <v>528</v>
      </c>
      <c r="D20" s="13"/>
      <c r="E20" s="3">
        <v>4722</v>
      </c>
      <c r="F20" s="13"/>
      <c r="G20" s="3">
        <v>117</v>
      </c>
      <c r="H20" s="13"/>
      <c r="I20" s="3">
        <v>785</v>
      </c>
      <c r="J20" s="13">
        <v>1730</v>
      </c>
      <c r="K20" s="3">
        <f t="shared" si="4"/>
        <v>784.71415999999999</v>
      </c>
      <c r="L20" s="3"/>
    </row>
    <row r="21" spans="1:13" x14ac:dyDescent="0.2">
      <c r="A21" s="5" t="s">
        <v>20</v>
      </c>
      <c r="B21" s="18"/>
      <c r="C21" s="3">
        <v>408</v>
      </c>
      <c r="D21" s="13"/>
      <c r="E21" s="3">
        <v>5507</v>
      </c>
      <c r="F21" s="13"/>
      <c r="G21" s="3">
        <v>157</v>
      </c>
      <c r="H21" s="13"/>
      <c r="I21" s="3">
        <v>598</v>
      </c>
      <c r="J21" s="13">
        <v>1318</v>
      </c>
      <c r="K21" s="3">
        <f t="shared" si="4"/>
        <v>597.83425599999998</v>
      </c>
      <c r="L21" s="3"/>
    </row>
    <row r="22" spans="1:13" ht="12.75" thickBot="1" x14ac:dyDescent="0.25">
      <c r="A22" s="5" t="s">
        <v>21</v>
      </c>
      <c r="B22" s="19"/>
      <c r="C22" s="32">
        <v>352</v>
      </c>
      <c r="D22" s="14"/>
      <c r="E22" s="32">
        <v>6387</v>
      </c>
      <c r="F22" s="14"/>
      <c r="G22" s="32">
        <v>141</v>
      </c>
      <c r="H22" s="14"/>
      <c r="I22" s="32">
        <v>526</v>
      </c>
      <c r="J22" s="14">
        <v>1159</v>
      </c>
      <c r="K22" s="32">
        <f t="shared" si="4"/>
        <v>525.71312799999998</v>
      </c>
      <c r="L22" s="32"/>
      <c r="M22" s="43" t="s">
        <v>64</v>
      </c>
    </row>
    <row r="23" spans="1:13" ht="12.75" thickBot="1" x14ac:dyDescent="0.25">
      <c r="A23" s="5" t="s">
        <v>22</v>
      </c>
      <c r="B23" s="16"/>
      <c r="C23" s="36">
        <v>348</v>
      </c>
      <c r="D23" s="40"/>
      <c r="E23" s="36">
        <v>6915</v>
      </c>
      <c r="F23" s="40"/>
      <c r="G23" s="36">
        <v>132</v>
      </c>
      <c r="H23" s="40"/>
      <c r="I23" s="36"/>
      <c r="J23" s="40"/>
      <c r="K23" s="36">
        <v>566</v>
      </c>
      <c r="L23" s="36"/>
    </row>
    <row r="24" spans="1:13" ht="12.75" thickBot="1" x14ac:dyDescent="0.25">
      <c r="A24" s="5" t="s">
        <v>23</v>
      </c>
      <c r="B24" s="16"/>
      <c r="C24" s="36">
        <v>674</v>
      </c>
      <c r="D24" s="40"/>
      <c r="E24" s="36">
        <v>6593</v>
      </c>
      <c r="F24" s="40"/>
      <c r="G24" s="36">
        <v>99</v>
      </c>
      <c r="H24" s="40"/>
      <c r="I24" s="36"/>
      <c r="J24" s="40"/>
      <c r="K24" s="36">
        <v>611</v>
      </c>
      <c r="L24" s="36">
        <v>0</v>
      </c>
    </row>
    <row r="25" spans="1:13" x14ac:dyDescent="0.2">
      <c r="A25" s="5" t="s">
        <v>24</v>
      </c>
      <c r="B25" s="17"/>
      <c r="C25" s="31">
        <v>3134</v>
      </c>
      <c r="D25" s="15"/>
      <c r="E25" s="31">
        <v>3700</v>
      </c>
      <c r="F25" s="15"/>
      <c r="G25" s="31">
        <v>176</v>
      </c>
      <c r="H25" s="15"/>
      <c r="I25" s="31"/>
      <c r="J25" s="15"/>
      <c r="K25" s="31">
        <v>1258</v>
      </c>
      <c r="L25" s="31"/>
    </row>
    <row r="26" spans="1:13" x14ac:dyDescent="0.2">
      <c r="A26" s="5" t="s">
        <v>25</v>
      </c>
      <c r="B26" s="18"/>
      <c r="C26" s="3">
        <v>1391</v>
      </c>
      <c r="D26" s="13"/>
      <c r="E26" s="3">
        <v>5959</v>
      </c>
      <c r="F26" s="13"/>
      <c r="G26" s="3">
        <v>251</v>
      </c>
      <c r="H26" s="13"/>
      <c r="I26" s="3"/>
      <c r="J26" s="13"/>
      <c r="K26" s="3">
        <v>1914</v>
      </c>
      <c r="L26" s="3"/>
    </row>
    <row r="27" spans="1:13" x14ac:dyDescent="0.2">
      <c r="A27" s="5" t="s">
        <v>26</v>
      </c>
      <c r="B27" s="18"/>
      <c r="C27" s="3">
        <v>157</v>
      </c>
      <c r="D27" s="13"/>
      <c r="E27" s="3">
        <v>8242</v>
      </c>
      <c r="F27" s="13"/>
      <c r="G27" s="3">
        <v>204</v>
      </c>
      <c r="H27" s="13"/>
      <c r="I27" s="3"/>
      <c r="J27" s="13"/>
      <c r="K27" s="3">
        <v>393</v>
      </c>
      <c r="L27" s="3"/>
    </row>
    <row r="28" spans="1:13" x14ac:dyDescent="0.2">
      <c r="A28" s="5" t="s">
        <v>27</v>
      </c>
      <c r="B28" s="18"/>
      <c r="C28" s="3">
        <v>55</v>
      </c>
      <c r="D28" s="13"/>
      <c r="E28" s="3">
        <v>0</v>
      </c>
      <c r="F28" s="13"/>
      <c r="G28" s="3">
        <v>79</v>
      </c>
      <c r="H28" s="13"/>
      <c r="I28" s="3"/>
      <c r="J28" s="13"/>
      <c r="K28" s="3">
        <v>18</v>
      </c>
      <c r="L28" s="3">
        <v>9686</v>
      </c>
      <c r="M28" s="43" t="s">
        <v>63</v>
      </c>
    </row>
    <row r="29" spans="1:13" ht="12.75" thickBot="1" x14ac:dyDescent="0.25">
      <c r="A29" s="5" t="s">
        <v>28</v>
      </c>
      <c r="B29" s="19"/>
      <c r="C29" s="32">
        <v>58</v>
      </c>
      <c r="D29" s="14"/>
      <c r="E29" s="32">
        <v>0</v>
      </c>
      <c r="F29" s="14"/>
      <c r="G29" s="32">
        <v>52</v>
      </c>
      <c r="H29" s="14"/>
      <c r="I29" s="32">
        <v>0</v>
      </c>
      <c r="J29" s="14"/>
      <c r="K29" s="32">
        <v>400</v>
      </c>
      <c r="L29" s="32">
        <v>9370</v>
      </c>
    </row>
    <row r="30" spans="1:13" x14ac:dyDescent="0.2">
      <c r="A30" s="5" t="s">
        <v>29</v>
      </c>
      <c r="B30" s="17"/>
      <c r="C30" s="31">
        <v>76</v>
      </c>
      <c r="D30" s="15"/>
      <c r="E30" s="31">
        <v>0</v>
      </c>
      <c r="F30" s="15"/>
      <c r="G30" s="31">
        <v>45</v>
      </c>
      <c r="H30" s="15"/>
      <c r="I30" s="31"/>
      <c r="J30" s="15"/>
      <c r="K30" s="31">
        <v>2752</v>
      </c>
      <c r="L30" s="31">
        <v>7941</v>
      </c>
    </row>
    <row r="31" spans="1:13" ht="12.75" thickBot="1" x14ac:dyDescent="0.25">
      <c r="A31" s="5" t="s">
        <v>30</v>
      </c>
      <c r="B31" s="19"/>
      <c r="C31" s="32">
        <v>58</v>
      </c>
      <c r="D31" s="14"/>
      <c r="E31" s="32">
        <v>62</v>
      </c>
      <c r="F31" s="14"/>
      <c r="G31" s="32">
        <v>38</v>
      </c>
      <c r="H31" s="14"/>
      <c r="I31" s="32"/>
      <c r="J31" s="14"/>
      <c r="K31" s="32"/>
      <c r="L31" s="32">
        <v>4911</v>
      </c>
      <c r="M31" s="43" t="s">
        <v>62</v>
      </c>
    </row>
    <row r="32" spans="1:13" ht="12.75" thickBot="1" x14ac:dyDescent="0.25">
      <c r="A32" s="5" t="s">
        <v>31</v>
      </c>
      <c r="B32" s="19"/>
      <c r="C32" s="32">
        <v>107</v>
      </c>
      <c r="D32" s="14"/>
      <c r="E32" s="32">
        <v>88</v>
      </c>
      <c r="F32" s="14"/>
      <c r="G32" s="32">
        <v>34</v>
      </c>
      <c r="H32" s="14"/>
      <c r="I32" s="32">
        <v>0</v>
      </c>
      <c r="J32" s="14"/>
      <c r="K32" s="32">
        <v>7223</v>
      </c>
      <c r="L32" s="36">
        <v>4400</v>
      </c>
    </row>
    <row r="33" spans="1:13" x14ac:dyDescent="0.2">
      <c r="A33" s="5" t="s">
        <v>32</v>
      </c>
      <c r="B33" s="17"/>
      <c r="C33" s="31">
        <v>140</v>
      </c>
      <c r="D33" s="15"/>
      <c r="E33" s="31">
        <v>241</v>
      </c>
      <c r="F33" s="15"/>
      <c r="G33" s="31">
        <v>15</v>
      </c>
      <c r="H33" s="15"/>
      <c r="I33" s="31">
        <v>0</v>
      </c>
      <c r="J33" s="15"/>
      <c r="K33" s="31">
        <v>5833</v>
      </c>
      <c r="L33" s="31">
        <v>4031</v>
      </c>
    </row>
    <row r="34" spans="1:13" x14ac:dyDescent="0.2">
      <c r="A34" s="5" t="s">
        <v>33</v>
      </c>
      <c r="B34" s="18"/>
      <c r="C34" s="3">
        <v>188</v>
      </c>
      <c r="D34" s="13"/>
      <c r="E34" s="3">
        <v>183</v>
      </c>
      <c r="F34" s="13"/>
      <c r="G34" s="3">
        <v>67</v>
      </c>
      <c r="H34" s="13"/>
      <c r="I34" s="3">
        <v>438</v>
      </c>
      <c r="J34" s="13"/>
      <c r="K34" s="3">
        <v>7628</v>
      </c>
      <c r="L34" s="3">
        <v>3298</v>
      </c>
    </row>
    <row r="35" spans="1:13" x14ac:dyDescent="0.2">
      <c r="A35" s="5" t="s">
        <v>34</v>
      </c>
      <c r="B35" s="18"/>
      <c r="C35" s="3">
        <v>218</v>
      </c>
      <c r="D35" s="13"/>
      <c r="E35" s="3">
        <v>367</v>
      </c>
      <c r="F35" s="13"/>
      <c r="G35" s="3">
        <v>69</v>
      </c>
      <c r="H35" s="13"/>
      <c r="I35" s="3">
        <v>175</v>
      </c>
      <c r="J35" s="13"/>
      <c r="K35" s="3">
        <v>10745</v>
      </c>
      <c r="L35" s="3">
        <v>1346</v>
      </c>
    </row>
    <row r="36" spans="1:13" x14ac:dyDescent="0.2">
      <c r="A36" s="5" t="s">
        <v>35</v>
      </c>
      <c r="B36" s="18"/>
      <c r="C36" s="3">
        <v>268</v>
      </c>
      <c r="D36" s="13"/>
      <c r="E36" s="3">
        <v>345</v>
      </c>
      <c r="F36" s="13"/>
      <c r="G36" s="3">
        <v>76</v>
      </c>
      <c r="H36" s="13"/>
      <c r="I36" s="3">
        <v>111</v>
      </c>
      <c r="J36" s="13"/>
      <c r="K36" s="3">
        <v>10695</v>
      </c>
      <c r="L36" s="3">
        <v>267</v>
      </c>
    </row>
    <row r="37" spans="1:13" ht="12.75" thickBot="1" x14ac:dyDescent="0.25">
      <c r="A37" s="6" t="s">
        <v>36</v>
      </c>
      <c r="B37" s="20"/>
      <c r="C37" s="32">
        <v>268</v>
      </c>
      <c r="D37" s="14"/>
      <c r="E37" s="32">
        <v>220</v>
      </c>
      <c r="F37" s="14"/>
      <c r="G37" s="32">
        <v>105</v>
      </c>
      <c r="H37" s="14"/>
      <c r="I37" s="32">
        <v>158</v>
      </c>
      <c r="J37" s="14"/>
      <c r="K37" s="32">
        <v>12879</v>
      </c>
      <c r="L37" s="32">
        <v>460</v>
      </c>
      <c r="M37" s="43" t="s">
        <v>61</v>
      </c>
    </row>
    <row r="38" spans="1:13" x14ac:dyDescent="0.2">
      <c r="A38" s="6" t="s">
        <v>37</v>
      </c>
      <c r="B38" s="21"/>
      <c r="C38" s="31">
        <v>160</v>
      </c>
      <c r="D38" s="15"/>
      <c r="E38" s="31">
        <v>342</v>
      </c>
      <c r="F38" s="15"/>
      <c r="G38" s="31">
        <v>112</v>
      </c>
      <c r="H38" s="15"/>
      <c r="I38" s="31">
        <v>31</v>
      </c>
      <c r="J38" s="15"/>
      <c r="K38" s="31">
        <v>10685</v>
      </c>
      <c r="L38" s="31">
        <v>2072</v>
      </c>
    </row>
    <row r="39" spans="1:13" x14ac:dyDescent="0.2">
      <c r="A39" s="6" t="s">
        <v>38</v>
      </c>
      <c r="B39" s="22"/>
      <c r="C39" s="3">
        <v>621</v>
      </c>
      <c r="D39" s="13"/>
      <c r="E39" s="3">
        <v>421</v>
      </c>
      <c r="F39" s="13"/>
      <c r="G39" s="3">
        <v>51</v>
      </c>
      <c r="H39" s="13"/>
      <c r="I39" s="3"/>
      <c r="J39" s="13"/>
      <c r="K39" s="3">
        <v>11355</v>
      </c>
      <c r="L39" s="3">
        <v>652</v>
      </c>
    </row>
    <row r="40" spans="1:13" x14ac:dyDescent="0.2">
      <c r="A40" s="6" t="s">
        <v>39</v>
      </c>
      <c r="B40" s="22"/>
      <c r="C40" s="3">
        <v>597</v>
      </c>
      <c r="D40" s="13"/>
      <c r="E40" s="3">
        <v>424</v>
      </c>
      <c r="F40" s="13"/>
      <c r="G40" s="3">
        <v>4</v>
      </c>
      <c r="H40" s="13"/>
      <c r="I40" s="3">
        <v>1</v>
      </c>
      <c r="J40" s="13"/>
      <c r="K40" s="3">
        <v>6483</v>
      </c>
      <c r="L40" s="3">
        <v>6158</v>
      </c>
    </row>
    <row r="41" spans="1:13" x14ac:dyDescent="0.2">
      <c r="A41" s="6" t="s">
        <v>40</v>
      </c>
      <c r="B41" s="22"/>
      <c r="C41" s="3">
        <v>816</v>
      </c>
      <c r="D41" s="13"/>
      <c r="E41" s="3">
        <v>2043</v>
      </c>
      <c r="F41" s="13"/>
      <c r="G41" s="3"/>
      <c r="H41" s="13"/>
      <c r="I41" s="3">
        <v>63</v>
      </c>
      <c r="J41" s="13"/>
      <c r="K41" s="3">
        <v>1494</v>
      </c>
      <c r="L41" s="3">
        <v>9638</v>
      </c>
    </row>
    <row r="42" spans="1:13" x14ac:dyDescent="0.2">
      <c r="A42" s="6" t="s">
        <v>41</v>
      </c>
      <c r="B42" s="22"/>
      <c r="C42" s="3">
        <v>276</v>
      </c>
      <c r="D42" s="13"/>
      <c r="E42" s="3">
        <v>430</v>
      </c>
      <c r="F42" s="13"/>
      <c r="G42" s="3"/>
      <c r="H42" s="13"/>
      <c r="I42" s="3">
        <v>16</v>
      </c>
      <c r="J42" s="13"/>
      <c r="K42" s="3">
        <v>1266</v>
      </c>
      <c r="L42" s="3">
        <v>14003</v>
      </c>
    </row>
    <row r="43" spans="1:13" x14ac:dyDescent="0.2">
      <c r="A43" s="6" t="s">
        <v>42</v>
      </c>
      <c r="B43" s="22"/>
      <c r="C43" s="3">
        <v>35</v>
      </c>
      <c r="D43" s="13"/>
      <c r="E43" s="3">
        <v>382</v>
      </c>
      <c r="F43" s="13"/>
      <c r="G43" s="3"/>
      <c r="H43" s="13"/>
      <c r="I43" s="3">
        <v>38</v>
      </c>
      <c r="J43" s="13"/>
      <c r="K43" s="3">
        <v>2582</v>
      </c>
      <c r="L43" s="3">
        <v>13307</v>
      </c>
    </row>
    <row r="44" spans="1:13" x14ac:dyDescent="0.2">
      <c r="A44" s="6" t="s">
        <v>43</v>
      </c>
      <c r="B44" s="22"/>
      <c r="C44" s="3">
        <v>41</v>
      </c>
      <c r="D44" s="13"/>
      <c r="E44" s="3">
        <v>367</v>
      </c>
      <c r="F44" s="13"/>
      <c r="G44" s="3">
        <v>13</v>
      </c>
      <c r="H44" s="13"/>
      <c r="I44" s="3">
        <v>25</v>
      </c>
      <c r="J44" s="13"/>
      <c r="K44" s="3">
        <v>2855</v>
      </c>
      <c r="L44" s="3">
        <v>11775</v>
      </c>
    </row>
    <row r="45" spans="1:13" x14ac:dyDescent="0.2">
      <c r="A45" s="6" t="s">
        <v>44</v>
      </c>
      <c r="B45" s="22"/>
      <c r="C45" s="3">
        <v>909</v>
      </c>
      <c r="D45" s="13"/>
      <c r="E45" s="3">
        <v>230</v>
      </c>
      <c r="F45" s="13"/>
      <c r="G45" s="3">
        <v>136</v>
      </c>
      <c r="H45" s="13"/>
      <c r="I45" s="3">
        <v>21</v>
      </c>
      <c r="J45" s="13"/>
      <c r="K45" s="3">
        <v>1903</v>
      </c>
      <c r="L45" s="3"/>
    </row>
    <row r="46" spans="1:13" x14ac:dyDescent="0.2">
      <c r="A46" s="6" t="s">
        <v>45</v>
      </c>
      <c r="B46" s="22"/>
      <c r="C46" s="3">
        <v>766</v>
      </c>
      <c r="D46" s="13"/>
      <c r="E46" s="3">
        <v>102</v>
      </c>
      <c r="F46" s="13"/>
      <c r="G46" s="3"/>
      <c r="H46" s="13"/>
      <c r="I46" s="3">
        <v>33</v>
      </c>
      <c r="J46" s="13"/>
      <c r="K46" s="3">
        <v>548</v>
      </c>
      <c r="L46" s="3"/>
    </row>
    <row r="47" spans="1:13" ht="12.75" thickBot="1" x14ac:dyDescent="0.25">
      <c r="A47" s="6" t="s">
        <v>46</v>
      </c>
      <c r="B47" s="20"/>
      <c r="C47" s="32">
        <v>766</v>
      </c>
      <c r="D47" s="14"/>
      <c r="E47" s="32">
        <v>168</v>
      </c>
      <c r="F47" s="14"/>
      <c r="G47" s="32"/>
      <c r="H47" s="14"/>
      <c r="I47" s="32">
        <v>8</v>
      </c>
      <c r="J47" s="14"/>
      <c r="K47" s="32">
        <v>1953</v>
      </c>
      <c r="L47" s="32"/>
      <c r="M47" s="43" t="s">
        <v>55</v>
      </c>
    </row>
    <row r="48" spans="1:13" x14ac:dyDescent="0.2">
      <c r="A48" s="6" t="s">
        <v>47</v>
      </c>
      <c r="B48" s="23"/>
      <c r="C48" s="31">
        <v>23</v>
      </c>
      <c r="D48" s="15"/>
      <c r="E48" s="31">
        <v>84</v>
      </c>
      <c r="F48" s="15"/>
      <c r="G48" s="31">
        <v>0</v>
      </c>
      <c r="H48" s="15"/>
      <c r="I48" s="31">
        <v>0</v>
      </c>
      <c r="J48" s="15"/>
      <c r="K48" s="31">
        <v>20069</v>
      </c>
      <c r="L48" s="31"/>
    </row>
    <row r="49" spans="1:13" ht="12.75" thickBot="1" x14ac:dyDescent="0.25">
      <c r="A49" s="6" t="s">
        <v>48</v>
      </c>
      <c r="B49" s="23"/>
      <c r="C49" s="32">
        <v>18</v>
      </c>
      <c r="D49" s="14"/>
      <c r="E49" s="32">
        <v>109</v>
      </c>
      <c r="F49" s="14"/>
      <c r="G49" s="32">
        <v>0</v>
      </c>
      <c r="H49" s="14"/>
      <c r="I49" s="32">
        <v>0</v>
      </c>
      <c r="J49" s="14"/>
      <c r="K49" s="32">
        <v>19264</v>
      </c>
      <c r="L49" s="32"/>
      <c r="M49" s="47" t="s">
        <v>49</v>
      </c>
    </row>
    <row r="50" spans="1:13" x14ac:dyDescent="0.2">
      <c r="A50" s="7" t="s">
        <v>73</v>
      </c>
      <c r="B50" s="23"/>
    </row>
  </sheetData>
  <mergeCells count="2">
    <mergeCell ref="C2:L2"/>
    <mergeCell ref="C4:L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ColWidth="9.140625" defaultRowHeight="12" x14ac:dyDescent="0.2"/>
  <cols>
    <col min="1" max="1" width="17.85546875" style="1" customWidth="1"/>
    <col min="2" max="2" width="17.85546875" style="11" hidden="1" customWidth="1"/>
    <col min="3" max="3" width="13.7109375" style="1" customWidth="1"/>
    <col min="4" max="4" width="13.7109375" style="11" hidden="1" customWidth="1"/>
    <col min="5" max="5" width="13.7109375" style="1" customWidth="1"/>
    <col min="6" max="6" width="13.7109375" style="11" hidden="1" customWidth="1"/>
    <col min="7" max="7" width="13.7109375" style="1" customWidth="1"/>
    <col min="8" max="8" width="13.7109375" style="11" hidden="1" customWidth="1"/>
    <col min="9" max="9" width="13.7109375" style="1" customWidth="1"/>
    <col min="10" max="10" width="13.7109375" style="11" hidden="1" customWidth="1"/>
    <col min="11" max="11" width="13.7109375" style="1" customWidth="1"/>
    <col min="12" max="12" width="9.140625" style="43"/>
    <col min="13" max="16384" width="9.140625" style="1"/>
  </cols>
  <sheetData>
    <row r="1" spans="1:20" x14ac:dyDescent="0.2">
      <c r="A1" s="4"/>
    </row>
    <row r="2" spans="1:20" ht="24" x14ac:dyDescent="0.2">
      <c r="A2" s="25" t="s">
        <v>4</v>
      </c>
      <c r="B2" s="26"/>
      <c r="C2" s="322" t="s">
        <v>58</v>
      </c>
      <c r="D2" s="322"/>
      <c r="E2" s="322"/>
      <c r="F2" s="322"/>
      <c r="G2" s="322"/>
      <c r="H2" s="322"/>
      <c r="I2" s="322"/>
      <c r="J2" s="322"/>
      <c r="K2" s="322"/>
    </row>
    <row r="3" spans="1:20" ht="24" x14ac:dyDescent="0.2">
      <c r="A3" s="3"/>
      <c r="B3" s="13"/>
      <c r="C3" s="37" t="s">
        <v>51</v>
      </c>
      <c r="D3" s="38"/>
      <c r="E3" s="29" t="s">
        <v>52</v>
      </c>
      <c r="F3" s="30"/>
      <c r="G3" s="29" t="s">
        <v>53</v>
      </c>
      <c r="H3" s="30"/>
      <c r="I3" s="29" t="s">
        <v>54</v>
      </c>
      <c r="J3" s="30"/>
      <c r="K3" s="37" t="s">
        <v>0</v>
      </c>
      <c r="L3" s="43" t="s">
        <v>78</v>
      </c>
    </row>
    <row r="4" spans="1:20" s="2" customFormat="1" x14ac:dyDescent="0.2">
      <c r="A4" s="24"/>
      <c r="B4" s="42">
        <v>0.453592</v>
      </c>
      <c r="C4" s="319" t="s">
        <v>86</v>
      </c>
      <c r="D4" s="320"/>
      <c r="E4" s="320"/>
      <c r="F4" s="320"/>
      <c r="G4" s="320"/>
      <c r="H4" s="320"/>
      <c r="I4" s="320"/>
      <c r="J4" s="320"/>
      <c r="K4" s="321"/>
      <c r="L4" s="44"/>
      <c r="M4" s="34"/>
      <c r="N4" s="34"/>
      <c r="O4" s="39"/>
      <c r="P4" s="39"/>
      <c r="Q4" s="39"/>
      <c r="R4" s="39"/>
      <c r="S4" s="34"/>
      <c r="T4" s="34"/>
    </row>
    <row r="5" spans="1:20" x14ac:dyDescent="0.2">
      <c r="A5" s="5" t="s">
        <v>5</v>
      </c>
      <c r="B5" s="13">
        <v>8646</v>
      </c>
      <c r="C5" s="3">
        <f t="shared" ref="C5:C18" si="0">B5*$B$4</f>
        <v>3921.7564320000001</v>
      </c>
      <c r="D5" s="13">
        <v>1919</v>
      </c>
      <c r="E5" s="3">
        <f t="shared" ref="E5:E18" si="1">D5*$B$4</f>
        <v>870.44304799999998</v>
      </c>
      <c r="F5" s="13">
        <v>468</v>
      </c>
      <c r="G5" s="3">
        <f t="shared" ref="G5:G11" si="2">F5*$B$4</f>
        <v>212.28105600000001</v>
      </c>
      <c r="H5" s="13">
        <v>278</v>
      </c>
      <c r="I5" s="3">
        <f t="shared" ref="I5:I11" si="3">H5*$B$4</f>
        <v>126.09857599999999</v>
      </c>
      <c r="J5" s="13">
        <v>409</v>
      </c>
      <c r="K5" s="3">
        <f t="shared" ref="K5:K11" si="4">J5*$B$4</f>
        <v>185.51912799999999</v>
      </c>
    </row>
    <row r="6" spans="1:20" x14ac:dyDescent="0.2">
      <c r="A6" s="5" t="s">
        <v>6</v>
      </c>
      <c r="B6" s="13">
        <v>8412</v>
      </c>
      <c r="C6" s="3">
        <f t="shared" si="0"/>
        <v>3815.6159039999998</v>
      </c>
      <c r="D6" s="13">
        <v>1874</v>
      </c>
      <c r="E6" s="3">
        <f t="shared" si="1"/>
        <v>850.03140799999994</v>
      </c>
      <c r="F6" s="13">
        <v>526</v>
      </c>
      <c r="G6" s="3">
        <f t="shared" si="2"/>
        <v>238.589392</v>
      </c>
      <c r="H6" s="13">
        <v>130</v>
      </c>
      <c r="I6" s="3">
        <f t="shared" si="3"/>
        <v>58.96696</v>
      </c>
      <c r="J6" s="13">
        <v>1135</v>
      </c>
      <c r="K6" s="3">
        <f t="shared" si="4"/>
        <v>514.82691999999997</v>
      </c>
    </row>
    <row r="7" spans="1:20" x14ac:dyDescent="0.2">
      <c r="A7" s="5" t="s">
        <v>7</v>
      </c>
      <c r="B7" s="13">
        <v>10153</v>
      </c>
      <c r="C7" s="3">
        <f t="shared" si="0"/>
        <v>4605.3195759999999</v>
      </c>
      <c r="D7" s="13">
        <v>2016</v>
      </c>
      <c r="E7" s="3">
        <f t="shared" si="1"/>
        <v>914.44147199999998</v>
      </c>
      <c r="F7" s="13">
        <v>707</v>
      </c>
      <c r="G7" s="3">
        <f t="shared" si="2"/>
        <v>320.68954400000001</v>
      </c>
      <c r="H7" s="13">
        <v>108</v>
      </c>
      <c r="I7" s="3">
        <f t="shared" si="3"/>
        <v>48.987935999999998</v>
      </c>
      <c r="J7" s="13">
        <v>922</v>
      </c>
      <c r="K7" s="3">
        <f t="shared" si="4"/>
        <v>418.21182399999998</v>
      </c>
    </row>
    <row r="8" spans="1:20" x14ac:dyDescent="0.2">
      <c r="A8" s="5" t="s">
        <v>8</v>
      </c>
      <c r="B8" s="13">
        <v>10354</v>
      </c>
      <c r="C8" s="3">
        <f t="shared" si="0"/>
        <v>4696.4915680000004</v>
      </c>
      <c r="D8" s="13">
        <v>3454</v>
      </c>
      <c r="E8" s="3">
        <f t="shared" si="1"/>
        <v>1566.706768</v>
      </c>
      <c r="F8" s="13">
        <v>945</v>
      </c>
      <c r="G8" s="3">
        <f t="shared" si="2"/>
        <v>428.64443999999997</v>
      </c>
      <c r="H8" s="13">
        <v>182</v>
      </c>
      <c r="I8" s="3">
        <f t="shared" si="3"/>
        <v>82.553743999999995</v>
      </c>
      <c r="J8" s="13">
        <v>1008</v>
      </c>
      <c r="K8" s="3">
        <f t="shared" si="4"/>
        <v>457.22073599999999</v>
      </c>
      <c r="L8" s="43" t="s">
        <v>68</v>
      </c>
    </row>
    <row r="9" spans="1:20" x14ac:dyDescent="0.2">
      <c r="A9" s="5" t="s">
        <v>9</v>
      </c>
      <c r="B9" s="13">
        <v>5882</v>
      </c>
      <c r="C9" s="3">
        <f t="shared" si="0"/>
        <v>2668.0281439999999</v>
      </c>
      <c r="D9" s="13">
        <v>6947</v>
      </c>
      <c r="E9" s="3">
        <f t="shared" si="1"/>
        <v>3151.1036239999999</v>
      </c>
      <c r="F9" s="13">
        <v>1073</v>
      </c>
      <c r="G9" s="3">
        <f t="shared" si="2"/>
        <v>486.70421599999997</v>
      </c>
      <c r="H9" s="13">
        <v>445</v>
      </c>
      <c r="I9" s="3">
        <f t="shared" si="3"/>
        <v>201.84844000000001</v>
      </c>
      <c r="J9" s="13">
        <v>1087</v>
      </c>
      <c r="K9" s="3">
        <f t="shared" si="4"/>
        <v>493.05450400000001</v>
      </c>
    </row>
    <row r="10" spans="1:20" x14ac:dyDescent="0.2">
      <c r="A10" s="5" t="s">
        <v>10</v>
      </c>
      <c r="B10" s="13">
        <v>6774</v>
      </c>
      <c r="C10" s="3">
        <f t="shared" si="0"/>
        <v>3072.632208</v>
      </c>
      <c r="D10" s="13">
        <v>6877</v>
      </c>
      <c r="E10" s="3">
        <f t="shared" si="1"/>
        <v>3119.3521839999999</v>
      </c>
      <c r="F10" s="13">
        <v>1346</v>
      </c>
      <c r="G10" s="3">
        <f t="shared" si="2"/>
        <v>610.53483199999994</v>
      </c>
      <c r="H10" s="13">
        <v>352</v>
      </c>
      <c r="I10" s="3">
        <f t="shared" si="3"/>
        <v>159.66438399999998</v>
      </c>
      <c r="J10" s="13">
        <v>335</v>
      </c>
      <c r="K10" s="3">
        <f t="shared" si="4"/>
        <v>151.95331999999999</v>
      </c>
    </row>
    <row r="11" spans="1:20" ht="12.75" thickBot="1" x14ac:dyDescent="0.25">
      <c r="A11" s="5" t="s">
        <v>11</v>
      </c>
      <c r="B11" s="14">
        <v>11045</v>
      </c>
      <c r="C11" s="32">
        <f t="shared" si="0"/>
        <v>5009.92364</v>
      </c>
      <c r="D11" s="14">
        <v>5654</v>
      </c>
      <c r="E11" s="32">
        <f t="shared" si="1"/>
        <v>2564.609168</v>
      </c>
      <c r="F11" s="14">
        <v>2343</v>
      </c>
      <c r="G11" s="32">
        <f t="shared" si="2"/>
        <v>1062.7660559999999</v>
      </c>
      <c r="H11" s="14">
        <v>373</v>
      </c>
      <c r="I11" s="32">
        <f t="shared" si="3"/>
        <v>169.18981600000001</v>
      </c>
      <c r="J11" s="14">
        <v>1050</v>
      </c>
      <c r="K11" s="32">
        <f t="shared" si="4"/>
        <v>476.27159999999998</v>
      </c>
    </row>
    <row r="12" spans="1:20" x14ac:dyDescent="0.2">
      <c r="A12" s="5" t="s">
        <v>12</v>
      </c>
      <c r="B12" s="12">
        <v>10021</v>
      </c>
      <c r="C12" s="31">
        <f t="shared" si="0"/>
        <v>4545.4454319999995</v>
      </c>
      <c r="D12" s="15">
        <v>7471</v>
      </c>
      <c r="E12" s="31">
        <f t="shared" si="1"/>
        <v>3388.785832</v>
      </c>
      <c r="F12" s="11">
        <v>2999</v>
      </c>
      <c r="G12" s="31">
        <v>2999</v>
      </c>
      <c r="H12" s="11">
        <v>448</v>
      </c>
      <c r="I12" s="31">
        <v>448</v>
      </c>
      <c r="J12" s="11">
        <v>1004</v>
      </c>
      <c r="K12" s="31">
        <v>1004</v>
      </c>
      <c r="L12" s="43" t="s">
        <v>67</v>
      </c>
    </row>
    <row r="13" spans="1:20" x14ac:dyDescent="0.2">
      <c r="A13" s="5" t="s">
        <v>13</v>
      </c>
      <c r="B13" s="13">
        <v>9107</v>
      </c>
      <c r="C13" s="3">
        <f t="shared" si="0"/>
        <v>4130.8623440000001</v>
      </c>
      <c r="D13" s="13">
        <v>7988</v>
      </c>
      <c r="E13" s="3">
        <f t="shared" si="1"/>
        <v>3623.2928959999999</v>
      </c>
      <c r="F13" s="13">
        <v>2886</v>
      </c>
      <c r="G13" s="3">
        <f t="shared" ref="G13:G18" si="5">F13*$B$4</f>
        <v>1309.0665119999999</v>
      </c>
      <c r="H13" s="13">
        <v>811</v>
      </c>
      <c r="I13" s="3">
        <f t="shared" ref="I13:I18" si="6">H13*$B$4</f>
        <v>367.863112</v>
      </c>
      <c r="J13" s="13">
        <v>1072</v>
      </c>
      <c r="K13" s="3">
        <f t="shared" ref="K13:K18" si="7">J13*$B$4</f>
        <v>486.25062400000002</v>
      </c>
    </row>
    <row r="14" spans="1:20" x14ac:dyDescent="0.2">
      <c r="A14" s="5" t="s">
        <v>3</v>
      </c>
      <c r="B14" s="13">
        <v>5788</v>
      </c>
      <c r="C14" s="3">
        <f t="shared" si="0"/>
        <v>2625.390496</v>
      </c>
      <c r="D14" s="13">
        <v>12651</v>
      </c>
      <c r="E14" s="3">
        <f t="shared" si="1"/>
        <v>5738.3923919999997</v>
      </c>
      <c r="F14" s="13">
        <v>3268</v>
      </c>
      <c r="G14" s="3">
        <f t="shared" si="5"/>
        <v>1482.3386559999999</v>
      </c>
      <c r="H14" s="13">
        <v>1158</v>
      </c>
      <c r="I14" s="3">
        <f t="shared" si="6"/>
        <v>525.25953600000003</v>
      </c>
      <c r="J14" s="13">
        <v>1529</v>
      </c>
      <c r="K14" s="3">
        <f t="shared" si="7"/>
        <v>693.54216799999995</v>
      </c>
    </row>
    <row r="15" spans="1:20" x14ac:dyDescent="0.2">
      <c r="A15" s="5" t="s">
        <v>14</v>
      </c>
      <c r="B15" s="13">
        <v>5171</v>
      </c>
      <c r="C15" s="3">
        <f t="shared" si="0"/>
        <v>2345.5242319999998</v>
      </c>
      <c r="D15" s="13">
        <v>12235</v>
      </c>
      <c r="E15" s="3">
        <f t="shared" si="1"/>
        <v>5549.69812</v>
      </c>
      <c r="F15" s="13">
        <v>3206</v>
      </c>
      <c r="G15" s="3">
        <f t="shared" si="5"/>
        <v>1454.215952</v>
      </c>
      <c r="H15" s="13">
        <v>1459</v>
      </c>
      <c r="I15" s="3">
        <f t="shared" si="6"/>
        <v>661.79072799999994</v>
      </c>
      <c r="J15" s="13">
        <v>1981</v>
      </c>
      <c r="K15" s="3">
        <f t="shared" si="7"/>
        <v>898.56575199999997</v>
      </c>
    </row>
    <row r="16" spans="1:20" x14ac:dyDescent="0.2">
      <c r="A16" s="5" t="s">
        <v>15</v>
      </c>
      <c r="B16" s="13">
        <v>4728</v>
      </c>
      <c r="C16" s="3">
        <f t="shared" si="0"/>
        <v>2144.5829760000001</v>
      </c>
      <c r="D16" s="13">
        <v>12185</v>
      </c>
      <c r="E16" s="3">
        <f t="shared" si="1"/>
        <v>5527.0185199999996</v>
      </c>
      <c r="F16" s="13">
        <v>4115</v>
      </c>
      <c r="G16" s="3">
        <f t="shared" si="5"/>
        <v>1866.53108</v>
      </c>
      <c r="H16" s="13">
        <v>1985</v>
      </c>
      <c r="I16" s="3">
        <f t="shared" si="6"/>
        <v>900.38012000000003</v>
      </c>
      <c r="J16" s="13">
        <v>2330</v>
      </c>
      <c r="K16" s="3">
        <f t="shared" si="7"/>
        <v>1056.8693599999999</v>
      </c>
    </row>
    <row r="17" spans="1:12" x14ac:dyDescent="0.2">
      <c r="A17" s="5" t="s">
        <v>16</v>
      </c>
      <c r="B17" s="13">
        <v>4229</v>
      </c>
      <c r="C17" s="3">
        <f t="shared" si="0"/>
        <v>1918.2405679999999</v>
      </c>
      <c r="D17" s="13">
        <v>12635</v>
      </c>
      <c r="E17" s="3">
        <f t="shared" si="1"/>
        <v>5731.1349199999995</v>
      </c>
      <c r="F17" s="13">
        <v>5126</v>
      </c>
      <c r="G17" s="3">
        <f t="shared" si="5"/>
        <v>2325.1125919999999</v>
      </c>
      <c r="H17" s="13">
        <v>1700</v>
      </c>
      <c r="I17" s="3">
        <f t="shared" si="6"/>
        <v>771.10640000000001</v>
      </c>
      <c r="J17" s="13">
        <v>2849</v>
      </c>
      <c r="K17" s="3">
        <f t="shared" si="7"/>
        <v>1292.283608</v>
      </c>
    </row>
    <row r="18" spans="1:12" s="11" customFormat="1" ht="12.75" thickBot="1" x14ac:dyDescent="0.25">
      <c r="A18" s="28" t="s">
        <v>17</v>
      </c>
      <c r="B18" s="14">
        <v>4101</v>
      </c>
      <c r="C18" s="14">
        <f t="shared" si="0"/>
        <v>1860.1807919999999</v>
      </c>
      <c r="D18" s="14">
        <v>13426</v>
      </c>
      <c r="E18" s="14">
        <f t="shared" si="1"/>
        <v>6089.9261919999999</v>
      </c>
      <c r="F18" s="14">
        <v>4803</v>
      </c>
      <c r="G18" s="14">
        <f t="shared" si="5"/>
        <v>2178.6023759999998</v>
      </c>
      <c r="H18" s="14">
        <v>2569</v>
      </c>
      <c r="I18" s="14">
        <f t="shared" si="6"/>
        <v>1165.2778479999999</v>
      </c>
      <c r="J18" s="14">
        <v>3395</v>
      </c>
      <c r="K18" s="14">
        <f t="shared" si="7"/>
        <v>1539.9448399999999</v>
      </c>
      <c r="L18" s="45" t="s">
        <v>66</v>
      </c>
    </row>
    <row r="19" spans="1:12" x14ac:dyDescent="0.2">
      <c r="A19" s="5" t="s">
        <v>18</v>
      </c>
      <c r="B19" s="17"/>
      <c r="C19" s="31">
        <v>2368</v>
      </c>
      <c r="D19" s="15"/>
      <c r="E19" s="31">
        <v>7215</v>
      </c>
      <c r="F19" s="15"/>
      <c r="G19" s="31">
        <v>2580</v>
      </c>
      <c r="H19" s="15"/>
      <c r="I19" s="31">
        <v>899</v>
      </c>
      <c r="J19" s="15"/>
      <c r="K19" s="31">
        <v>1241</v>
      </c>
    </row>
    <row r="20" spans="1:12" x14ac:dyDescent="0.2">
      <c r="A20" s="5" t="s">
        <v>19</v>
      </c>
      <c r="B20" s="18"/>
      <c r="C20" s="3">
        <v>2409</v>
      </c>
      <c r="D20" s="13"/>
      <c r="E20" s="3">
        <v>7632</v>
      </c>
      <c r="F20" s="13"/>
      <c r="G20" s="3">
        <v>2960</v>
      </c>
      <c r="H20" s="13"/>
      <c r="I20" s="3">
        <v>579</v>
      </c>
      <c r="J20" s="13"/>
      <c r="K20" s="3">
        <v>1154</v>
      </c>
    </row>
    <row r="21" spans="1:12" x14ac:dyDescent="0.2">
      <c r="A21" s="5" t="s">
        <v>20</v>
      </c>
      <c r="B21" s="18"/>
      <c r="C21" s="3">
        <v>3172</v>
      </c>
      <c r="D21" s="13"/>
      <c r="E21" s="3">
        <v>7420</v>
      </c>
      <c r="F21" s="13"/>
      <c r="G21" s="3">
        <v>2492</v>
      </c>
      <c r="H21" s="13"/>
      <c r="I21" s="3">
        <v>501</v>
      </c>
      <c r="J21" s="13"/>
      <c r="K21" s="3">
        <v>1016</v>
      </c>
    </row>
    <row r="22" spans="1:12" ht="12.75" thickBot="1" x14ac:dyDescent="0.25">
      <c r="A22" s="5" t="s">
        <v>21</v>
      </c>
      <c r="B22" s="19"/>
      <c r="C22" s="32">
        <v>2405</v>
      </c>
      <c r="D22" s="14"/>
      <c r="E22" s="32">
        <v>9060</v>
      </c>
      <c r="F22" s="14"/>
      <c r="G22" s="32">
        <v>2026</v>
      </c>
      <c r="H22" s="14"/>
      <c r="I22" s="32">
        <v>766</v>
      </c>
      <c r="J22" s="14"/>
      <c r="K22" s="32">
        <v>992</v>
      </c>
      <c r="L22" s="43" t="s">
        <v>64</v>
      </c>
    </row>
    <row r="23" spans="1:12" ht="12.75" thickBot="1" x14ac:dyDescent="0.25">
      <c r="A23" s="5" t="s">
        <v>22</v>
      </c>
      <c r="B23" s="16"/>
      <c r="C23" s="36">
        <v>2497</v>
      </c>
      <c r="D23" s="40"/>
      <c r="E23" s="36">
        <v>9794</v>
      </c>
      <c r="F23" s="40"/>
      <c r="G23" s="36">
        <v>1864</v>
      </c>
      <c r="H23" s="40"/>
      <c r="I23" s="36">
        <v>1007</v>
      </c>
      <c r="J23" s="40"/>
      <c r="K23" s="36">
        <v>956</v>
      </c>
    </row>
    <row r="24" spans="1:12" ht="12.75" thickBot="1" x14ac:dyDescent="0.25">
      <c r="A24" s="5" t="s">
        <v>23</v>
      </c>
      <c r="B24" s="16"/>
      <c r="C24" s="36">
        <v>3090</v>
      </c>
      <c r="D24" s="40"/>
      <c r="E24" s="36">
        <v>8534</v>
      </c>
      <c r="F24" s="40"/>
      <c r="G24" s="36">
        <v>1665</v>
      </c>
      <c r="H24" s="40"/>
      <c r="I24" s="36">
        <v>1194</v>
      </c>
      <c r="J24" s="40"/>
      <c r="K24" s="36">
        <v>1071</v>
      </c>
    </row>
    <row r="25" spans="1:12" x14ac:dyDescent="0.2">
      <c r="A25" s="5" t="s">
        <v>24</v>
      </c>
      <c r="B25" s="17"/>
      <c r="C25" s="31">
        <v>5605</v>
      </c>
      <c r="D25" s="15"/>
      <c r="E25" s="31">
        <v>6620</v>
      </c>
      <c r="F25" s="15"/>
      <c r="G25" s="31">
        <v>1906</v>
      </c>
      <c r="H25" s="15"/>
      <c r="I25" s="31">
        <v>1341</v>
      </c>
      <c r="J25" s="15"/>
      <c r="K25" s="31">
        <v>1723</v>
      </c>
    </row>
    <row r="26" spans="1:12" x14ac:dyDescent="0.2">
      <c r="A26" s="5" t="s">
        <v>25</v>
      </c>
      <c r="B26" s="18"/>
      <c r="C26" s="3">
        <v>3913</v>
      </c>
      <c r="D26" s="13"/>
      <c r="E26" s="3">
        <v>9081</v>
      </c>
      <c r="F26" s="13"/>
      <c r="G26" s="3">
        <v>1476</v>
      </c>
      <c r="H26" s="13"/>
      <c r="I26" s="3">
        <v>1515</v>
      </c>
      <c r="J26" s="13"/>
      <c r="K26" s="3">
        <v>2362</v>
      </c>
    </row>
    <row r="27" spans="1:12" x14ac:dyDescent="0.2">
      <c r="A27" s="5" t="s">
        <v>26</v>
      </c>
      <c r="B27" s="18"/>
      <c r="C27" s="3">
        <v>2788</v>
      </c>
      <c r="D27" s="13"/>
      <c r="E27" s="3">
        <v>11811</v>
      </c>
      <c r="F27" s="13"/>
      <c r="G27" s="3">
        <v>1825</v>
      </c>
      <c r="H27" s="13"/>
      <c r="I27" s="3">
        <v>1348</v>
      </c>
      <c r="J27" s="13"/>
      <c r="K27" s="3">
        <v>1303</v>
      </c>
    </row>
    <row r="28" spans="1:12" ht="12.75" thickBot="1" x14ac:dyDescent="0.25">
      <c r="A28" s="5" t="s">
        <v>27</v>
      </c>
      <c r="B28" s="19"/>
      <c r="C28" s="32">
        <v>3238</v>
      </c>
      <c r="D28" s="14"/>
      <c r="E28" s="32">
        <v>4626</v>
      </c>
      <c r="F28" s="14"/>
      <c r="G28" s="32">
        <v>1501</v>
      </c>
      <c r="H28" s="14"/>
      <c r="I28" s="32">
        <v>1089</v>
      </c>
      <c r="J28" s="14"/>
      <c r="K28" s="32">
        <v>475</v>
      </c>
      <c r="L28" s="43" t="s">
        <v>63</v>
      </c>
    </row>
    <row r="29" spans="1:12" x14ac:dyDescent="0.2">
      <c r="A29" s="5" t="s">
        <v>28</v>
      </c>
      <c r="B29" s="17"/>
      <c r="C29" s="31">
        <v>2985</v>
      </c>
      <c r="D29" s="15"/>
      <c r="E29" s="31">
        <v>5849</v>
      </c>
      <c r="F29" s="15"/>
      <c r="G29" s="31">
        <v>1736</v>
      </c>
      <c r="H29" s="15"/>
      <c r="I29" s="31">
        <v>1174</v>
      </c>
      <c r="J29" s="15"/>
      <c r="K29" s="31">
        <v>755</v>
      </c>
    </row>
    <row r="30" spans="1:12" x14ac:dyDescent="0.2">
      <c r="A30" s="5" t="s">
        <v>29</v>
      </c>
      <c r="B30" s="18"/>
      <c r="C30" s="3">
        <v>3507</v>
      </c>
      <c r="D30" s="13"/>
      <c r="E30" s="3">
        <v>5429</v>
      </c>
      <c r="F30" s="13"/>
      <c r="G30" s="3">
        <v>1529</v>
      </c>
      <c r="H30" s="13"/>
      <c r="I30" s="3">
        <v>1421</v>
      </c>
      <c r="J30" s="13"/>
      <c r="K30" s="3">
        <v>3640</v>
      </c>
    </row>
    <row r="31" spans="1:12" ht="12.75" thickBot="1" x14ac:dyDescent="0.25">
      <c r="A31" s="5" t="s">
        <v>30</v>
      </c>
      <c r="B31" s="19"/>
      <c r="C31" s="32">
        <v>3873</v>
      </c>
      <c r="D31" s="14"/>
      <c r="E31" s="32">
        <v>6440</v>
      </c>
      <c r="F31" s="14"/>
      <c r="G31" s="32">
        <v>2103</v>
      </c>
      <c r="H31" s="14"/>
      <c r="I31" s="32">
        <v>2039</v>
      </c>
      <c r="J31" s="14"/>
      <c r="K31" s="32">
        <v>7374</v>
      </c>
      <c r="L31" s="43" t="s">
        <v>62</v>
      </c>
    </row>
    <row r="32" spans="1:12" x14ac:dyDescent="0.2">
      <c r="A32" s="5" t="s">
        <v>31</v>
      </c>
      <c r="B32" s="12"/>
      <c r="C32" s="31">
        <v>3516</v>
      </c>
      <c r="D32" s="15"/>
      <c r="E32" s="31">
        <v>6939</v>
      </c>
      <c r="F32" s="15"/>
      <c r="G32" s="31">
        <v>2819</v>
      </c>
      <c r="H32" s="15"/>
      <c r="I32" s="31">
        <v>2160</v>
      </c>
      <c r="J32" s="15"/>
      <c r="K32" s="31">
        <v>8053</v>
      </c>
    </row>
    <row r="33" spans="1:12" x14ac:dyDescent="0.2">
      <c r="A33" s="5" t="s">
        <v>32</v>
      </c>
      <c r="B33" s="18"/>
      <c r="C33" s="3">
        <v>3582</v>
      </c>
      <c r="D33" s="13"/>
      <c r="E33" s="3">
        <v>6868</v>
      </c>
      <c r="F33" s="13"/>
      <c r="G33" s="3">
        <v>2004</v>
      </c>
      <c r="H33" s="13"/>
      <c r="I33" s="3">
        <v>1906</v>
      </c>
      <c r="J33" s="13"/>
      <c r="K33" s="3">
        <v>1144</v>
      </c>
    </row>
    <row r="34" spans="1:12" x14ac:dyDescent="0.2">
      <c r="A34" s="5" t="s">
        <v>33</v>
      </c>
      <c r="B34" s="18"/>
      <c r="C34" s="3">
        <v>2584</v>
      </c>
      <c r="D34" s="13"/>
      <c r="E34" s="3">
        <v>6613</v>
      </c>
      <c r="F34" s="13"/>
      <c r="G34" s="3">
        <v>1578</v>
      </c>
      <c r="H34" s="13"/>
      <c r="I34" s="3">
        <v>1688</v>
      </c>
      <c r="J34" s="13"/>
      <c r="K34" s="3">
        <v>0</v>
      </c>
    </row>
    <row r="35" spans="1:12" x14ac:dyDescent="0.2">
      <c r="A35" s="5" t="s">
        <v>34</v>
      </c>
      <c r="B35" s="18"/>
      <c r="C35" s="3">
        <v>2861</v>
      </c>
      <c r="D35" s="13"/>
      <c r="E35" s="3">
        <v>7509</v>
      </c>
      <c r="F35" s="13"/>
      <c r="G35" s="3">
        <v>1558</v>
      </c>
      <c r="H35" s="13"/>
      <c r="I35" s="3">
        <v>2023</v>
      </c>
      <c r="J35" s="13"/>
      <c r="K35" s="3">
        <v>667</v>
      </c>
    </row>
    <row r="36" spans="1:12" x14ac:dyDescent="0.2">
      <c r="A36" s="5" t="s">
        <v>35</v>
      </c>
      <c r="B36" s="18"/>
      <c r="C36" s="3">
        <v>2931</v>
      </c>
      <c r="D36" s="13"/>
      <c r="E36" s="3">
        <v>7881</v>
      </c>
      <c r="F36" s="13"/>
      <c r="G36" s="3">
        <v>1844</v>
      </c>
      <c r="H36" s="13"/>
      <c r="I36" s="3">
        <v>1987</v>
      </c>
      <c r="J36" s="13"/>
      <c r="K36" s="3">
        <v>1688</v>
      </c>
    </row>
    <row r="37" spans="1:12" ht="12.75" thickBot="1" x14ac:dyDescent="0.25">
      <c r="A37" s="6" t="s">
        <v>36</v>
      </c>
      <c r="B37" s="20"/>
      <c r="C37" s="32">
        <v>3480</v>
      </c>
      <c r="D37" s="14"/>
      <c r="E37" s="32">
        <v>8330</v>
      </c>
      <c r="F37" s="14"/>
      <c r="G37" s="32">
        <v>2204</v>
      </c>
      <c r="H37" s="14"/>
      <c r="I37" s="32">
        <v>2292</v>
      </c>
      <c r="J37" s="14"/>
      <c r="K37" s="32">
        <v>796</v>
      </c>
      <c r="L37" s="43" t="s">
        <v>61</v>
      </c>
    </row>
    <row r="38" spans="1:12" x14ac:dyDescent="0.2">
      <c r="A38" s="6" t="s">
        <v>37</v>
      </c>
      <c r="B38" s="21"/>
      <c r="C38" s="31">
        <v>3718</v>
      </c>
      <c r="D38" s="15"/>
      <c r="E38" s="31">
        <v>8314</v>
      </c>
      <c r="F38" s="15"/>
      <c r="G38" s="31">
        <v>2090</v>
      </c>
      <c r="H38" s="15"/>
      <c r="I38" s="31">
        <v>2441</v>
      </c>
      <c r="J38" s="15"/>
      <c r="K38" s="31">
        <v>669</v>
      </c>
    </row>
    <row r="39" spans="1:12" x14ac:dyDescent="0.2">
      <c r="A39" s="6" t="s">
        <v>38</v>
      </c>
      <c r="B39" s="22"/>
      <c r="C39" s="3">
        <v>3543</v>
      </c>
      <c r="D39" s="13"/>
      <c r="E39" s="3">
        <v>8913</v>
      </c>
      <c r="F39" s="13"/>
      <c r="G39" s="3">
        <v>2234</v>
      </c>
      <c r="H39" s="13"/>
      <c r="I39" s="3">
        <v>2763</v>
      </c>
      <c r="J39" s="13"/>
      <c r="K39" s="3">
        <v>176</v>
      </c>
    </row>
    <row r="40" spans="1:12" x14ac:dyDescent="0.2">
      <c r="A40" s="6" t="s">
        <v>39</v>
      </c>
      <c r="B40" s="22"/>
      <c r="C40" s="3">
        <v>2506</v>
      </c>
      <c r="D40" s="13"/>
      <c r="E40" s="3">
        <v>6512</v>
      </c>
      <c r="F40" s="13"/>
      <c r="G40" s="3">
        <v>2071</v>
      </c>
      <c r="H40" s="13"/>
      <c r="I40" s="3">
        <v>2252</v>
      </c>
      <c r="J40" s="13"/>
      <c r="K40" s="3">
        <v>514</v>
      </c>
    </row>
    <row r="41" spans="1:12" x14ac:dyDescent="0.2">
      <c r="A41" s="6" t="s">
        <v>40</v>
      </c>
      <c r="B41" s="22"/>
      <c r="C41" s="3">
        <v>2565</v>
      </c>
      <c r="D41" s="13"/>
      <c r="E41" s="3">
        <v>8580</v>
      </c>
      <c r="F41" s="13"/>
      <c r="G41" s="3">
        <v>2052</v>
      </c>
      <c r="H41" s="13"/>
      <c r="I41" s="3">
        <v>2336</v>
      </c>
      <c r="J41" s="13"/>
      <c r="K41" s="3">
        <v>665</v>
      </c>
    </row>
    <row r="42" spans="1:12" x14ac:dyDescent="0.2">
      <c r="A42" s="6" t="s">
        <v>41</v>
      </c>
      <c r="B42" s="22"/>
      <c r="C42" s="3">
        <v>4095</v>
      </c>
      <c r="D42" s="13"/>
      <c r="E42" s="3">
        <v>8309</v>
      </c>
      <c r="F42" s="13"/>
      <c r="G42" s="3">
        <v>1360</v>
      </c>
      <c r="H42" s="13"/>
      <c r="I42" s="3">
        <v>2264</v>
      </c>
      <c r="J42" s="13"/>
      <c r="K42" s="3">
        <v>1116</v>
      </c>
    </row>
    <row r="43" spans="1:12" x14ac:dyDescent="0.2">
      <c r="A43" s="6" t="s">
        <v>42</v>
      </c>
      <c r="B43" s="22"/>
      <c r="C43" s="3">
        <v>3772</v>
      </c>
      <c r="D43" s="13"/>
      <c r="E43" s="3">
        <v>5661</v>
      </c>
      <c r="F43" s="13"/>
      <c r="G43" s="3">
        <v>1358</v>
      </c>
      <c r="H43" s="13"/>
      <c r="I43" s="3">
        <v>2428</v>
      </c>
      <c r="J43" s="13"/>
      <c r="K43" s="3">
        <v>1479</v>
      </c>
    </row>
    <row r="44" spans="1:12" x14ac:dyDescent="0.2">
      <c r="A44" s="6" t="s">
        <v>43</v>
      </c>
      <c r="B44" s="22"/>
      <c r="C44" s="3">
        <v>5236</v>
      </c>
      <c r="D44" s="13"/>
      <c r="E44" s="3">
        <v>6147</v>
      </c>
      <c r="F44" s="13"/>
      <c r="G44" s="3">
        <v>1719</v>
      </c>
      <c r="H44" s="13"/>
      <c r="I44" s="3">
        <v>2639</v>
      </c>
      <c r="J44" s="13"/>
      <c r="K44" s="3">
        <v>1361</v>
      </c>
    </row>
    <row r="45" spans="1:12" x14ac:dyDescent="0.2">
      <c r="A45" s="6" t="s">
        <v>44</v>
      </c>
      <c r="B45" s="22"/>
      <c r="C45" s="3">
        <v>6655</v>
      </c>
      <c r="D45" s="13"/>
      <c r="E45" s="3">
        <v>8591</v>
      </c>
      <c r="F45" s="13"/>
      <c r="G45" s="3">
        <v>1899</v>
      </c>
      <c r="H45" s="13"/>
      <c r="I45" s="3">
        <v>3113</v>
      </c>
      <c r="J45" s="13"/>
      <c r="K45" s="3">
        <v>1340</v>
      </c>
    </row>
    <row r="46" spans="1:12" x14ac:dyDescent="0.2">
      <c r="A46" s="6" t="s">
        <v>45</v>
      </c>
      <c r="B46" s="22"/>
      <c r="C46" s="3">
        <v>7374</v>
      </c>
      <c r="D46" s="13"/>
      <c r="E46" s="3">
        <v>8383</v>
      </c>
      <c r="F46" s="13"/>
      <c r="G46" s="3">
        <v>2109</v>
      </c>
      <c r="H46" s="13"/>
      <c r="I46" s="3">
        <v>3000</v>
      </c>
      <c r="J46" s="13"/>
      <c r="K46" s="3">
        <v>1081</v>
      </c>
    </row>
    <row r="47" spans="1:12" ht="12.75" thickBot="1" x14ac:dyDescent="0.25">
      <c r="A47" s="6" t="s">
        <v>46</v>
      </c>
      <c r="B47" s="20"/>
      <c r="C47" s="32">
        <v>8642</v>
      </c>
      <c r="D47" s="14"/>
      <c r="E47" s="32">
        <v>8169</v>
      </c>
      <c r="F47" s="14"/>
      <c r="G47" s="32">
        <v>1792</v>
      </c>
      <c r="H47" s="14"/>
      <c r="I47" s="32">
        <v>3547</v>
      </c>
      <c r="J47" s="14"/>
      <c r="K47" s="32">
        <v>368</v>
      </c>
      <c r="L47" s="43" t="s">
        <v>55</v>
      </c>
    </row>
    <row r="48" spans="1:12" x14ac:dyDescent="0.2">
      <c r="A48" s="6" t="s">
        <v>47</v>
      </c>
      <c r="B48" s="23"/>
      <c r="C48" s="31">
        <v>8644</v>
      </c>
      <c r="D48" s="15"/>
      <c r="E48" s="31">
        <v>8661</v>
      </c>
      <c r="F48" s="15"/>
      <c r="G48" s="31">
        <v>2412</v>
      </c>
      <c r="H48" s="15"/>
      <c r="I48" s="31">
        <v>3563</v>
      </c>
      <c r="J48" s="15"/>
      <c r="K48" s="31">
        <v>46</v>
      </c>
    </row>
    <row r="49" spans="1:12" ht="12.75" thickBot="1" x14ac:dyDescent="0.25">
      <c r="A49" s="6" t="s">
        <v>48</v>
      </c>
      <c r="B49" s="23"/>
      <c r="C49" s="32">
        <v>7361</v>
      </c>
      <c r="D49" s="14"/>
      <c r="E49" s="32">
        <v>10659</v>
      </c>
      <c r="F49" s="14"/>
      <c r="G49" s="32">
        <v>2862</v>
      </c>
      <c r="H49" s="14"/>
      <c r="I49" s="32">
        <v>3478</v>
      </c>
      <c r="J49" s="14"/>
      <c r="K49" s="32">
        <v>11</v>
      </c>
      <c r="L49" s="47" t="s">
        <v>49</v>
      </c>
    </row>
    <row r="50" spans="1:12" x14ac:dyDescent="0.2">
      <c r="A50" s="7" t="s">
        <v>73</v>
      </c>
      <c r="B50" s="23"/>
    </row>
  </sheetData>
  <mergeCells count="2">
    <mergeCell ref="C2:K2"/>
    <mergeCell ref="C4:K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workbookViewId="0">
      <pane xSplit="1" ySplit="4" topLeftCell="B5" activePane="bottomRight" state="frozen"/>
      <selection pane="topRight" activeCell="B1" sqref="B1"/>
      <selection pane="bottomLeft" activeCell="A5" sqref="A5"/>
      <selection pane="bottomRight" activeCell="C5" sqref="C5"/>
    </sheetView>
  </sheetViews>
  <sheetFormatPr defaultColWidth="9.140625" defaultRowHeight="12" x14ac:dyDescent="0.2"/>
  <cols>
    <col min="1" max="1" width="17.85546875" style="1" customWidth="1"/>
    <col min="2" max="2" width="17.85546875" style="11" hidden="1" customWidth="1"/>
    <col min="3" max="3" width="13.7109375" style="1" customWidth="1"/>
    <col min="4" max="4" width="13.7109375" style="11" hidden="1" customWidth="1"/>
    <col min="5" max="5" width="13.7109375" style="1" customWidth="1"/>
    <col min="6" max="6" width="13.7109375" style="11" hidden="1" customWidth="1"/>
    <col min="7" max="7" width="13.7109375" style="1" customWidth="1"/>
    <col min="8" max="8" width="13.7109375" style="11" hidden="1" customWidth="1"/>
    <col min="9" max="9" width="13.7109375" style="1" customWidth="1"/>
    <col min="10" max="10" width="13.7109375" style="11" hidden="1" customWidth="1"/>
    <col min="11" max="11" width="13.7109375" style="1" customWidth="1"/>
    <col min="12" max="12" width="9.140625" style="43"/>
    <col min="13" max="16384" width="9.140625" style="1"/>
  </cols>
  <sheetData>
    <row r="1" spans="1:23" x14ac:dyDescent="0.2">
      <c r="A1" s="4"/>
    </row>
    <row r="2" spans="1:23" ht="24" x14ac:dyDescent="0.2">
      <c r="A2" s="25" t="s">
        <v>4</v>
      </c>
      <c r="B2" s="26"/>
      <c r="C2" s="313" t="s">
        <v>59</v>
      </c>
      <c r="D2" s="314"/>
      <c r="E2" s="314"/>
      <c r="F2" s="314"/>
      <c r="G2" s="314"/>
      <c r="H2" s="314"/>
      <c r="I2" s="314"/>
      <c r="J2" s="314"/>
      <c r="K2" s="315"/>
    </row>
    <row r="3" spans="1:23" ht="24" x14ac:dyDescent="0.2">
      <c r="A3" s="3"/>
      <c r="B3" s="13"/>
      <c r="C3" s="37" t="s">
        <v>51</v>
      </c>
      <c r="D3" s="38"/>
      <c r="E3" s="29" t="s">
        <v>52</v>
      </c>
      <c r="F3" s="30"/>
      <c r="G3" s="29" t="s">
        <v>53</v>
      </c>
      <c r="H3" s="30"/>
      <c r="I3" s="29" t="s">
        <v>54</v>
      </c>
      <c r="J3" s="30"/>
      <c r="K3" s="37" t="s">
        <v>0</v>
      </c>
      <c r="L3" s="43" t="s">
        <v>78</v>
      </c>
    </row>
    <row r="4" spans="1:23" s="2" customFormat="1" x14ac:dyDescent="0.2">
      <c r="A4" s="24"/>
      <c r="B4" s="41">
        <v>0.453592</v>
      </c>
      <c r="C4" s="319" t="s">
        <v>86</v>
      </c>
      <c r="D4" s="320"/>
      <c r="E4" s="320"/>
      <c r="F4" s="320"/>
      <c r="G4" s="320"/>
      <c r="H4" s="320"/>
      <c r="I4" s="320"/>
      <c r="J4" s="320"/>
      <c r="K4" s="321"/>
      <c r="L4" s="44"/>
      <c r="M4" s="34"/>
      <c r="N4" s="34"/>
      <c r="O4" s="39"/>
      <c r="P4" s="39"/>
      <c r="Q4" s="39"/>
      <c r="R4" s="39"/>
      <c r="S4" s="34"/>
      <c r="T4" s="34"/>
      <c r="U4" s="35"/>
      <c r="V4" s="35"/>
      <c r="W4" s="35"/>
    </row>
    <row r="5" spans="1:23" x14ac:dyDescent="0.2">
      <c r="A5" s="5" t="s">
        <v>5</v>
      </c>
      <c r="B5" s="13">
        <v>104437</v>
      </c>
      <c r="C5" s="3">
        <f t="shared" ref="C5:C18" si="0">B5*$B$4</f>
        <v>47371.787704000002</v>
      </c>
      <c r="D5" s="13">
        <v>296143</v>
      </c>
      <c r="E5" s="3">
        <f t="shared" ref="E5:E18" si="1">D5*$B$4</f>
        <v>134328.09565599999</v>
      </c>
      <c r="F5" s="13">
        <v>94473</v>
      </c>
      <c r="G5" s="3">
        <f t="shared" ref="G5:G18" si="2">F5*$B$4</f>
        <v>42852.197015999998</v>
      </c>
      <c r="H5" s="13">
        <v>31669</v>
      </c>
      <c r="I5" s="3">
        <f t="shared" ref="I5:I18" si="3">H5*$B$4</f>
        <v>14364.805048</v>
      </c>
      <c r="J5" s="13">
        <v>411</v>
      </c>
      <c r="K5" s="3">
        <f t="shared" ref="K5:K18" si="4">J5*$B$4</f>
        <v>186.426312</v>
      </c>
    </row>
    <row r="6" spans="1:23" x14ac:dyDescent="0.2">
      <c r="A6" s="5" t="s">
        <v>6</v>
      </c>
      <c r="B6" s="13">
        <v>157656</v>
      </c>
      <c r="C6" s="3">
        <f t="shared" si="0"/>
        <v>71511.500352000003</v>
      </c>
      <c r="D6" s="13">
        <v>276133</v>
      </c>
      <c r="E6" s="3">
        <f t="shared" si="1"/>
        <v>125251.719736</v>
      </c>
      <c r="F6" s="13">
        <v>58204</v>
      </c>
      <c r="G6" s="3">
        <f t="shared" si="2"/>
        <v>26400.868768</v>
      </c>
      <c r="H6" s="13">
        <v>67707</v>
      </c>
      <c r="I6" s="3">
        <f t="shared" si="3"/>
        <v>30711.353544000001</v>
      </c>
      <c r="J6" s="13">
        <v>0</v>
      </c>
      <c r="K6" s="3">
        <f t="shared" si="4"/>
        <v>0</v>
      </c>
    </row>
    <row r="7" spans="1:23" x14ac:dyDescent="0.2">
      <c r="A7" s="5" t="s">
        <v>7</v>
      </c>
      <c r="B7" s="13">
        <v>168220</v>
      </c>
      <c r="C7" s="3">
        <f t="shared" si="0"/>
        <v>76303.246239999993</v>
      </c>
      <c r="D7" s="13">
        <v>302922</v>
      </c>
      <c r="E7" s="3">
        <f t="shared" si="1"/>
        <v>137402.99582400001</v>
      </c>
      <c r="F7" s="13">
        <v>58623</v>
      </c>
      <c r="G7" s="3">
        <f t="shared" si="2"/>
        <v>26590.923815999999</v>
      </c>
      <c r="H7" s="13">
        <v>62312</v>
      </c>
      <c r="I7" s="3">
        <f t="shared" si="3"/>
        <v>28264.224704</v>
      </c>
      <c r="J7" s="13">
        <v>324</v>
      </c>
      <c r="K7" s="3">
        <f t="shared" si="4"/>
        <v>146.963808</v>
      </c>
    </row>
    <row r="8" spans="1:23" ht="12.75" thickBot="1" x14ac:dyDescent="0.25">
      <c r="A8" s="5" t="s">
        <v>8</v>
      </c>
      <c r="B8" s="14">
        <v>170310</v>
      </c>
      <c r="C8" s="32">
        <f t="shared" si="0"/>
        <v>77251.253519999998</v>
      </c>
      <c r="D8" s="14">
        <v>320962</v>
      </c>
      <c r="E8" s="32">
        <f t="shared" si="1"/>
        <v>145585.79550400001</v>
      </c>
      <c r="F8" s="14">
        <v>69638</v>
      </c>
      <c r="G8" s="32">
        <f t="shared" si="2"/>
        <v>31587.239696000001</v>
      </c>
      <c r="H8" s="14">
        <v>52007</v>
      </c>
      <c r="I8" s="32">
        <f t="shared" si="3"/>
        <v>23589.959144</v>
      </c>
      <c r="J8" s="14">
        <v>440</v>
      </c>
      <c r="K8" s="32">
        <f t="shared" si="4"/>
        <v>199.58047999999999</v>
      </c>
      <c r="L8" s="43" t="s">
        <v>68</v>
      </c>
    </row>
    <row r="9" spans="1:23" x14ac:dyDescent="0.2">
      <c r="A9" s="5" t="s">
        <v>9</v>
      </c>
      <c r="B9" s="15">
        <v>150854</v>
      </c>
      <c r="C9" s="31">
        <f t="shared" si="0"/>
        <v>68426.167568000004</v>
      </c>
      <c r="D9" s="15">
        <v>347400</v>
      </c>
      <c r="E9" s="31">
        <f t="shared" si="1"/>
        <v>157577.86079999999</v>
      </c>
      <c r="F9" s="15">
        <v>81471</v>
      </c>
      <c r="G9" s="31">
        <f t="shared" si="2"/>
        <v>36954.593831999999</v>
      </c>
      <c r="H9" s="15">
        <v>60415</v>
      </c>
      <c r="I9" s="31">
        <f t="shared" si="3"/>
        <v>27403.760679999999</v>
      </c>
      <c r="J9" s="15">
        <v>974</v>
      </c>
      <c r="K9" s="31">
        <f t="shared" si="4"/>
        <v>441.798608</v>
      </c>
    </row>
    <row r="10" spans="1:23" x14ac:dyDescent="0.2">
      <c r="A10" s="5" t="s">
        <v>10</v>
      </c>
      <c r="B10" s="13">
        <v>148787</v>
      </c>
      <c r="C10" s="3">
        <f t="shared" si="0"/>
        <v>67488.592904000005</v>
      </c>
      <c r="D10" s="13">
        <v>288397</v>
      </c>
      <c r="E10" s="3">
        <f t="shared" si="1"/>
        <v>130814.57202399999</v>
      </c>
      <c r="F10" s="13">
        <v>98223</v>
      </c>
      <c r="G10" s="3">
        <f t="shared" si="2"/>
        <v>44553.167015999999</v>
      </c>
      <c r="H10" s="13">
        <v>51052</v>
      </c>
      <c r="I10" s="3">
        <f t="shared" si="3"/>
        <v>23156.778783999998</v>
      </c>
      <c r="J10" s="13">
        <v>912</v>
      </c>
      <c r="K10" s="3">
        <f t="shared" si="4"/>
        <v>413.675904</v>
      </c>
    </row>
    <row r="11" spans="1:23" ht="12.75" thickBot="1" x14ac:dyDescent="0.25">
      <c r="A11" s="5" t="s">
        <v>11</v>
      </c>
      <c r="B11" s="14">
        <v>153270</v>
      </c>
      <c r="C11" s="32">
        <f t="shared" si="0"/>
        <v>69522.045840000006</v>
      </c>
      <c r="D11" s="14">
        <v>293597</v>
      </c>
      <c r="E11" s="32">
        <f t="shared" si="1"/>
        <v>133173.250424</v>
      </c>
      <c r="F11" s="14">
        <v>116819</v>
      </c>
      <c r="G11" s="32">
        <f t="shared" si="2"/>
        <v>52988.163847999997</v>
      </c>
      <c r="H11" s="14">
        <v>50839</v>
      </c>
      <c r="I11" s="32">
        <f t="shared" si="3"/>
        <v>23060.163688000001</v>
      </c>
      <c r="J11" s="14">
        <v>462</v>
      </c>
      <c r="K11" s="32">
        <f t="shared" si="4"/>
        <v>209.559504</v>
      </c>
      <c r="L11" s="43" t="s">
        <v>67</v>
      </c>
    </row>
    <row r="12" spans="1:23" x14ac:dyDescent="0.2">
      <c r="A12" s="5" t="s">
        <v>12</v>
      </c>
      <c r="B12" s="15">
        <v>153669</v>
      </c>
      <c r="C12" s="31">
        <f t="shared" si="0"/>
        <v>69703.029047999997</v>
      </c>
      <c r="D12" s="15">
        <v>318339</v>
      </c>
      <c r="E12" s="31">
        <f t="shared" si="1"/>
        <v>144396.02368799999</v>
      </c>
      <c r="F12" s="15">
        <v>125566</v>
      </c>
      <c r="G12" s="31">
        <f t="shared" si="2"/>
        <v>56955.733072000003</v>
      </c>
      <c r="H12" s="15">
        <v>46903</v>
      </c>
      <c r="I12" s="31">
        <f t="shared" si="3"/>
        <v>21274.825575999999</v>
      </c>
      <c r="J12" s="15">
        <v>268</v>
      </c>
      <c r="K12" s="31">
        <f t="shared" si="4"/>
        <v>121.562656</v>
      </c>
    </row>
    <row r="13" spans="1:23" x14ac:dyDescent="0.2">
      <c r="A13" s="5" t="s">
        <v>13</v>
      </c>
      <c r="B13" s="13">
        <v>148633</v>
      </c>
      <c r="C13" s="3">
        <f t="shared" si="0"/>
        <v>67418.739736000003</v>
      </c>
      <c r="D13" s="13">
        <v>305470</v>
      </c>
      <c r="E13" s="3">
        <f t="shared" si="1"/>
        <v>138558.74823999999</v>
      </c>
      <c r="F13" s="13">
        <v>128484</v>
      </c>
      <c r="G13" s="3">
        <f t="shared" si="2"/>
        <v>58279.314528000003</v>
      </c>
      <c r="H13" s="13">
        <v>43351</v>
      </c>
      <c r="I13" s="3">
        <f t="shared" si="3"/>
        <v>19663.666792</v>
      </c>
      <c r="J13" s="13">
        <v>579</v>
      </c>
      <c r="K13" s="3">
        <f t="shared" si="4"/>
        <v>262.62976800000001</v>
      </c>
    </row>
    <row r="14" spans="1:23" x14ac:dyDescent="0.2">
      <c r="A14" s="5" t="s">
        <v>3</v>
      </c>
      <c r="B14" s="13">
        <v>150458</v>
      </c>
      <c r="C14" s="3">
        <f t="shared" si="0"/>
        <v>68246.545136000001</v>
      </c>
      <c r="D14" s="13">
        <v>321886</v>
      </c>
      <c r="E14" s="3">
        <f t="shared" si="1"/>
        <v>146004.91451199999</v>
      </c>
      <c r="F14" s="13">
        <v>138402</v>
      </c>
      <c r="G14" s="3">
        <f t="shared" si="2"/>
        <v>62778.039984000003</v>
      </c>
      <c r="H14" s="13">
        <v>41549</v>
      </c>
      <c r="I14" s="3">
        <f t="shared" si="3"/>
        <v>18846.294008000001</v>
      </c>
      <c r="J14" s="13">
        <v>669</v>
      </c>
      <c r="K14" s="3">
        <f t="shared" si="4"/>
        <v>303.45304800000002</v>
      </c>
    </row>
    <row r="15" spans="1:23" x14ac:dyDescent="0.2">
      <c r="A15" s="5" t="s">
        <v>14</v>
      </c>
      <c r="B15" s="13">
        <v>151884</v>
      </c>
      <c r="C15" s="3">
        <f t="shared" si="0"/>
        <v>68893.367327999993</v>
      </c>
      <c r="D15" s="13">
        <v>313356</v>
      </c>
      <c r="E15" s="3">
        <f t="shared" si="1"/>
        <v>142135.774752</v>
      </c>
      <c r="F15" s="13">
        <v>146570</v>
      </c>
      <c r="G15" s="3">
        <f t="shared" si="2"/>
        <v>66482.979439999996</v>
      </c>
      <c r="H15" s="13">
        <v>41261</v>
      </c>
      <c r="I15" s="3">
        <f t="shared" si="3"/>
        <v>18715.659511999998</v>
      </c>
      <c r="J15" s="13">
        <v>441</v>
      </c>
      <c r="K15" s="3">
        <f t="shared" si="4"/>
        <v>200.03407200000001</v>
      </c>
    </row>
    <row r="16" spans="1:23" x14ac:dyDescent="0.2">
      <c r="A16" s="5" t="s">
        <v>15</v>
      </c>
      <c r="B16" s="13">
        <v>143332</v>
      </c>
      <c r="C16" s="3">
        <f t="shared" si="0"/>
        <v>65014.248544000002</v>
      </c>
      <c r="D16" s="13">
        <v>302706</v>
      </c>
      <c r="E16" s="3">
        <f t="shared" si="1"/>
        <v>137305.019952</v>
      </c>
      <c r="F16" s="13">
        <v>168065</v>
      </c>
      <c r="G16" s="3">
        <f t="shared" si="2"/>
        <v>76232.939480000001</v>
      </c>
      <c r="H16" s="13">
        <v>35815</v>
      </c>
      <c r="I16" s="3">
        <f t="shared" si="3"/>
        <v>16245.39748</v>
      </c>
      <c r="J16" s="13">
        <v>484</v>
      </c>
      <c r="K16" s="3">
        <f t="shared" si="4"/>
        <v>219.53852799999999</v>
      </c>
    </row>
    <row r="17" spans="1:12" x14ac:dyDescent="0.2">
      <c r="A17" s="5" t="s">
        <v>16</v>
      </c>
      <c r="B17" s="13">
        <v>149032</v>
      </c>
      <c r="C17" s="3">
        <f t="shared" si="0"/>
        <v>67599.722943999994</v>
      </c>
      <c r="D17" s="13">
        <v>300085</v>
      </c>
      <c r="E17" s="3">
        <f t="shared" si="1"/>
        <v>136116.15531999999</v>
      </c>
      <c r="F17" s="13">
        <v>133250</v>
      </c>
      <c r="G17" s="3">
        <f t="shared" si="2"/>
        <v>60441.133999999998</v>
      </c>
      <c r="H17" s="13">
        <v>31967</v>
      </c>
      <c r="I17" s="3">
        <f t="shared" si="3"/>
        <v>14499.975463999999</v>
      </c>
      <c r="J17" s="13">
        <v>969</v>
      </c>
      <c r="K17" s="3">
        <f t="shared" si="4"/>
        <v>439.53064799999999</v>
      </c>
    </row>
    <row r="18" spans="1:12" s="11" customFormat="1" x14ac:dyDescent="0.2">
      <c r="A18" s="28" t="s">
        <v>17</v>
      </c>
      <c r="B18" s="13">
        <v>143483</v>
      </c>
      <c r="C18" s="13">
        <f t="shared" si="0"/>
        <v>65082.740936000002</v>
      </c>
      <c r="D18" s="13">
        <v>297899</v>
      </c>
      <c r="E18" s="13">
        <f t="shared" si="1"/>
        <v>135124.60320799999</v>
      </c>
      <c r="F18" s="13">
        <v>150504</v>
      </c>
      <c r="G18" s="13">
        <f t="shared" si="2"/>
        <v>68267.410367999997</v>
      </c>
      <c r="H18" s="13">
        <v>31662</v>
      </c>
      <c r="I18" s="13">
        <f t="shared" si="3"/>
        <v>14361.629903999999</v>
      </c>
      <c r="J18" s="13">
        <v>1261</v>
      </c>
      <c r="K18" s="13">
        <f t="shared" si="4"/>
        <v>571.979512</v>
      </c>
      <c r="L18" s="45" t="s">
        <v>66</v>
      </c>
    </row>
    <row r="19" spans="1:12" x14ac:dyDescent="0.2">
      <c r="A19" s="5" t="s">
        <v>18</v>
      </c>
      <c r="B19" s="17"/>
      <c r="C19" s="31">
        <v>69083</v>
      </c>
      <c r="D19" s="15"/>
      <c r="E19" s="31">
        <v>135772</v>
      </c>
      <c r="F19" s="15"/>
      <c r="G19" s="31">
        <v>73601</v>
      </c>
      <c r="H19" s="15"/>
      <c r="I19" s="31">
        <v>13121</v>
      </c>
      <c r="J19" s="15"/>
      <c r="K19" s="31">
        <v>411</v>
      </c>
    </row>
    <row r="20" spans="1:12" x14ac:dyDescent="0.2">
      <c r="A20" s="5" t="s">
        <v>19</v>
      </c>
      <c r="B20" s="18"/>
      <c r="C20" s="3">
        <v>72148</v>
      </c>
      <c r="D20" s="13"/>
      <c r="E20" s="3">
        <v>142873</v>
      </c>
      <c r="F20" s="13"/>
      <c r="G20" s="3">
        <v>72366</v>
      </c>
      <c r="H20" s="13"/>
      <c r="I20" s="3">
        <v>12634</v>
      </c>
      <c r="J20" s="13"/>
      <c r="K20" s="3">
        <v>675</v>
      </c>
    </row>
    <row r="21" spans="1:12" x14ac:dyDescent="0.2">
      <c r="A21" s="5" t="s">
        <v>20</v>
      </c>
      <c r="B21" s="18"/>
      <c r="C21" s="3">
        <v>66163</v>
      </c>
      <c r="D21" s="13"/>
      <c r="E21" s="3">
        <v>162794</v>
      </c>
      <c r="F21" s="13"/>
      <c r="G21" s="3">
        <v>76160</v>
      </c>
      <c r="H21" s="13"/>
      <c r="I21" s="3">
        <v>12443</v>
      </c>
      <c r="J21" s="13"/>
      <c r="K21" s="3">
        <v>459</v>
      </c>
    </row>
    <row r="22" spans="1:12" ht="12.75" thickBot="1" x14ac:dyDescent="0.25">
      <c r="A22" s="5" t="s">
        <v>21</v>
      </c>
      <c r="B22" s="19"/>
      <c r="C22" s="32">
        <v>72558</v>
      </c>
      <c r="D22" s="14"/>
      <c r="E22" s="32">
        <v>170950</v>
      </c>
      <c r="F22" s="14"/>
      <c r="G22" s="32">
        <v>81032</v>
      </c>
      <c r="H22" s="14"/>
      <c r="I22" s="32">
        <v>12585</v>
      </c>
      <c r="J22" s="14"/>
      <c r="K22" s="32">
        <v>532</v>
      </c>
      <c r="L22" s="43" t="s">
        <v>64</v>
      </c>
    </row>
    <row r="23" spans="1:12" ht="12.75" thickBot="1" x14ac:dyDescent="0.25">
      <c r="A23" s="5" t="s">
        <v>22</v>
      </c>
      <c r="B23" s="16"/>
      <c r="C23" s="36">
        <v>67841</v>
      </c>
      <c r="D23" s="40"/>
      <c r="E23" s="36">
        <v>169511</v>
      </c>
      <c r="F23" s="40"/>
      <c r="G23" s="36">
        <v>79219</v>
      </c>
      <c r="H23" s="40"/>
      <c r="I23" s="36">
        <v>14725</v>
      </c>
      <c r="J23" s="40"/>
      <c r="K23" s="36">
        <v>609</v>
      </c>
    </row>
    <row r="24" spans="1:12" ht="12.75" thickBot="1" x14ac:dyDescent="0.25">
      <c r="A24" s="5" t="s">
        <v>23</v>
      </c>
      <c r="B24" s="16"/>
      <c r="C24" s="36">
        <v>66911</v>
      </c>
      <c r="D24" s="40"/>
      <c r="E24" s="36">
        <v>181874</v>
      </c>
      <c r="F24" s="40"/>
      <c r="G24" s="36">
        <v>84795</v>
      </c>
      <c r="H24" s="40"/>
      <c r="I24" s="36">
        <v>12146</v>
      </c>
      <c r="J24" s="40"/>
      <c r="K24" s="36">
        <v>308</v>
      </c>
    </row>
    <row r="25" spans="1:12" x14ac:dyDescent="0.2">
      <c r="A25" s="5" t="s">
        <v>24</v>
      </c>
      <c r="B25" s="17"/>
      <c r="C25" s="31">
        <v>66744</v>
      </c>
      <c r="D25" s="15"/>
      <c r="E25" s="31">
        <v>174467</v>
      </c>
      <c r="F25" s="15"/>
      <c r="G25" s="31">
        <v>78475</v>
      </c>
      <c r="H25" s="15"/>
      <c r="I25" s="31">
        <v>9068</v>
      </c>
      <c r="J25" s="15"/>
      <c r="K25" s="31">
        <v>300</v>
      </c>
    </row>
    <row r="26" spans="1:12" x14ac:dyDescent="0.2">
      <c r="A26" s="5" t="s">
        <v>25</v>
      </c>
      <c r="B26" s="18"/>
      <c r="C26" s="3">
        <v>65960</v>
      </c>
      <c r="D26" s="13"/>
      <c r="E26" s="3">
        <v>180860</v>
      </c>
      <c r="F26" s="13"/>
      <c r="G26" s="3">
        <v>79692</v>
      </c>
      <c r="H26" s="13"/>
      <c r="I26" s="3">
        <v>8562</v>
      </c>
      <c r="J26" s="13"/>
      <c r="K26" s="3">
        <v>183</v>
      </c>
    </row>
    <row r="27" spans="1:12" x14ac:dyDescent="0.2">
      <c r="A27" s="5" t="s">
        <v>26</v>
      </c>
      <c r="B27" s="18"/>
      <c r="C27" s="3">
        <v>69191</v>
      </c>
      <c r="D27" s="13"/>
      <c r="E27" s="3">
        <v>189897</v>
      </c>
      <c r="F27" s="13"/>
      <c r="G27" s="3">
        <v>79981</v>
      </c>
      <c r="H27" s="13"/>
      <c r="I27" s="3">
        <v>8394</v>
      </c>
      <c r="J27" s="13"/>
      <c r="K27" s="3">
        <v>174</v>
      </c>
    </row>
    <row r="28" spans="1:12" x14ac:dyDescent="0.2">
      <c r="A28" s="5" t="s">
        <v>27</v>
      </c>
      <c r="B28" s="18"/>
      <c r="C28" s="3">
        <v>73402</v>
      </c>
      <c r="D28" s="13"/>
      <c r="E28" s="3">
        <v>199073</v>
      </c>
      <c r="F28" s="13"/>
      <c r="G28" s="3">
        <v>81771</v>
      </c>
      <c r="H28" s="13"/>
      <c r="I28" s="3">
        <v>9509</v>
      </c>
      <c r="J28" s="13"/>
      <c r="K28" s="3">
        <v>457</v>
      </c>
    </row>
    <row r="29" spans="1:12" ht="12.75" thickBot="1" x14ac:dyDescent="0.25">
      <c r="A29" s="5" t="s">
        <v>28</v>
      </c>
      <c r="B29" s="19"/>
      <c r="C29" s="32">
        <v>76804</v>
      </c>
      <c r="D29" s="14"/>
      <c r="E29" s="32">
        <v>221514</v>
      </c>
      <c r="F29" s="14"/>
      <c r="G29" s="32">
        <v>83592</v>
      </c>
      <c r="H29" s="14"/>
      <c r="I29" s="32">
        <v>9238</v>
      </c>
      <c r="J29" s="14"/>
      <c r="K29" s="32">
        <v>448</v>
      </c>
      <c r="L29" s="43" t="s">
        <v>63</v>
      </c>
    </row>
    <row r="30" spans="1:12" x14ac:dyDescent="0.2">
      <c r="A30" s="5" t="s">
        <v>29</v>
      </c>
      <c r="B30" s="17"/>
      <c r="C30" s="31">
        <v>87050</v>
      </c>
      <c r="D30" s="15"/>
      <c r="E30" s="31">
        <v>237553</v>
      </c>
      <c r="F30" s="15"/>
      <c r="G30" s="31">
        <v>85368</v>
      </c>
      <c r="H30" s="15"/>
      <c r="I30" s="31">
        <v>9858</v>
      </c>
      <c r="J30" s="15"/>
      <c r="K30" s="31">
        <v>568</v>
      </c>
    </row>
    <row r="31" spans="1:12" ht="12.75" thickBot="1" x14ac:dyDescent="0.25">
      <c r="A31" s="5" t="s">
        <v>30</v>
      </c>
      <c r="B31" s="19"/>
      <c r="C31" s="32">
        <v>87586</v>
      </c>
      <c r="D31" s="14"/>
      <c r="E31" s="32">
        <v>244075</v>
      </c>
      <c r="F31" s="14"/>
      <c r="G31" s="32">
        <v>83097</v>
      </c>
      <c r="H31" s="14"/>
      <c r="I31" s="32">
        <v>9767</v>
      </c>
      <c r="J31" s="14"/>
      <c r="K31" s="32">
        <v>664</v>
      </c>
      <c r="L31" s="43" t="s">
        <v>62</v>
      </c>
    </row>
    <row r="32" spans="1:12" ht="12.75" thickBot="1" x14ac:dyDescent="0.25">
      <c r="A32" s="5" t="s">
        <v>31</v>
      </c>
      <c r="B32" s="19"/>
      <c r="C32" s="32">
        <v>88659</v>
      </c>
      <c r="D32" s="14"/>
      <c r="E32" s="50">
        <v>264790</v>
      </c>
      <c r="F32" s="14"/>
      <c r="G32" s="32">
        <v>90042</v>
      </c>
      <c r="H32" s="14"/>
      <c r="I32" s="32">
        <v>9324</v>
      </c>
      <c r="J32" s="14"/>
      <c r="K32" s="32">
        <v>535</v>
      </c>
      <c r="L32" s="43" t="s">
        <v>75</v>
      </c>
    </row>
    <row r="33" spans="1:12" x14ac:dyDescent="0.2">
      <c r="A33" s="5" t="s">
        <v>32</v>
      </c>
      <c r="B33" s="17"/>
      <c r="C33" s="31">
        <v>86899</v>
      </c>
      <c r="D33" s="15"/>
      <c r="E33" s="31">
        <v>237138</v>
      </c>
      <c r="F33" s="15"/>
      <c r="G33" s="31">
        <v>92022</v>
      </c>
      <c r="H33" s="15"/>
      <c r="I33" s="31">
        <v>9835</v>
      </c>
      <c r="J33" s="15"/>
      <c r="K33" s="31">
        <v>1216</v>
      </c>
    </row>
    <row r="34" spans="1:12" x14ac:dyDescent="0.2">
      <c r="A34" s="5" t="s">
        <v>33</v>
      </c>
      <c r="B34" s="18"/>
      <c r="C34" s="3">
        <v>105504</v>
      </c>
      <c r="D34" s="13"/>
      <c r="E34" s="3">
        <v>221685</v>
      </c>
      <c r="F34" s="13"/>
      <c r="G34" s="3">
        <v>95787</v>
      </c>
      <c r="H34" s="13"/>
      <c r="I34" s="3">
        <v>9824</v>
      </c>
      <c r="J34" s="13"/>
      <c r="K34" s="3">
        <v>1533</v>
      </c>
    </row>
    <row r="35" spans="1:12" x14ac:dyDescent="0.2">
      <c r="A35" s="5" t="s">
        <v>34</v>
      </c>
      <c r="B35" s="18"/>
      <c r="C35" s="3">
        <v>113742</v>
      </c>
      <c r="D35" s="13"/>
      <c r="E35" s="3">
        <v>207917</v>
      </c>
      <c r="F35" s="13"/>
      <c r="G35" s="3">
        <v>97606</v>
      </c>
      <c r="H35" s="13"/>
      <c r="I35" s="3">
        <v>7847</v>
      </c>
      <c r="J35" s="13"/>
      <c r="K35" s="3">
        <v>1214</v>
      </c>
    </row>
    <row r="36" spans="1:12" x14ac:dyDescent="0.2">
      <c r="A36" s="5" t="s">
        <v>35</v>
      </c>
      <c r="B36" s="18"/>
      <c r="C36" s="3">
        <v>104564</v>
      </c>
      <c r="D36" s="13"/>
      <c r="E36" s="3">
        <v>169895</v>
      </c>
      <c r="F36" s="13"/>
      <c r="G36" s="3">
        <v>90886</v>
      </c>
      <c r="H36" s="13"/>
      <c r="I36" s="3">
        <v>5849</v>
      </c>
      <c r="J36" s="13"/>
      <c r="K36" s="3">
        <v>740</v>
      </c>
    </row>
    <row r="37" spans="1:12" ht="12.75" thickBot="1" x14ac:dyDescent="0.25">
      <c r="A37" s="6" t="s">
        <v>36</v>
      </c>
      <c r="B37" s="27"/>
      <c r="C37" s="32">
        <v>116013</v>
      </c>
      <c r="D37" s="14"/>
      <c r="E37" s="32">
        <v>207917</v>
      </c>
      <c r="F37" s="14"/>
      <c r="G37" s="32">
        <v>97606</v>
      </c>
      <c r="H37" s="14"/>
      <c r="I37" s="32">
        <v>7847</v>
      </c>
      <c r="J37" s="14"/>
      <c r="K37" s="32">
        <v>1214</v>
      </c>
      <c r="L37" s="43" t="s">
        <v>61</v>
      </c>
    </row>
    <row r="38" spans="1:12" x14ac:dyDescent="0.2">
      <c r="A38" s="6" t="s">
        <v>37</v>
      </c>
      <c r="B38" s="21"/>
      <c r="C38" s="31">
        <v>124596</v>
      </c>
      <c r="D38" s="15"/>
      <c r="E38" s="31">
        <v>186301</v>
      </c>
      <c r="F38" s="15"/>
      <c r="G38" s="31">
        <v>101215</v>
      </c>
      <c r="H38" s="15"/>
      <c r="I38" s="31">
        <v>5925</v>
      </c>
      <c r="J38" s="15"/>
      <c r="K38" s="31">
        <v>748</v>
      </c>
    </row>
    <row r="39" spans="1:12" x14ac:dyDescent="0.2">
      <c r="A39" s="6" t="s">
        <v>38</v>
      </c>
      <c r="B39" s="22"/>
      <c r="C39" s="3">
        <v>119277</v>
      </c>
      <c r="D39" s="13"/>
      <c r="E39" s="3">
        <v>171270</v>
      </c>
      <c r="F39" s="13"/>
      <c r="G39" s="3">
        <v>100213</v>
      </c>
      <c r="H39" s="13"/>
      <c r="I39" s="3">
        <v>5087</v>
      </c>
      <c r="J39" s="13"/>
      <c r="K39" s="3">
        <v>913</v>
      </c>
    </row>
    <row r="40" spans="1:12" x14ac:dyDescent="0.2">
      <c r="A40" s="6" t="s">
        <v>39</v>
      </c>
      <c r="B40" s="22"/>
      <c r="C40" s="3">
        <v>152847</v>
      </c>
      <c r="D40" s="13"/>
      <c r="E40" s="3">
        <v>192387</v>
      </c>
      <c r="F40" s="13"/>
      <c r="G40" s="3">
        <v>121279</v>
      </c>
      <c r="H40" s="13"/>
      <c r="I40" s="3">
        <v>6322</v>
      </c>
      <c r="J40" s="13"/>
      <c r="K40" s="3">
        <v>409</v>
      </c>
    </row>
    <row r="41" spans="1:12" x14ac:dyDescent="0.2">
      <c r="A41" s="6" t="s">
        <v>40</v>
      </c>
      <c r="B41" s="22"/>
      <c r="C41" s="3">
        <v>146757</v>
      </c>
      <c r="D41" s="13"/>
      <c r="E41" s="3">
        <v>179666</v>
      </c>
      <c r="F41" s="13"/>
      <c r="G41" s="3">
        <v>111179</v>
      </c>
      <c r="H41" s="13"/>
      <c r="I41" s="3">
        <v>6671</v>
      </c>
      <c r="J41" s="13"/>
      <c r="K41" s="3">
        <v>445</v>
      </c>
    </row>
    <row r="42" spans="1:12" x14ac:dyDescent="0.2">
      <c r="A42" s="6" t="s">
        <v>41</v>
      </c>
      <c r="B42" s="22"/>
      <c r="C42" s="3">
        <v>146089</v>
      </c>
      <c r="D42" s="13"/>
      <c r="E42" s="3">
        <v>175649</v>
      </c>
      <c r="F42" s="13"/>
      <c r="G42" s="3">
        <v>107929</v>
      </c>
      <c r="H42" s="13"/>
      <c r="I42" s="3">
        <v>6731</v>
      </c>
      <c r="J42" s="13"/>
      <c r="K42" s="3">
        <v>84</v>
      </c>
    </row>
    <row r="43" spans="1:12" x14ac:dyDescent="0.2">
      <c r="A43" s="6" t="s">
        <v>42</v>
      </c>
      <c r="B43" s="22"/>
      <c r="C43" s="3">
        <v>154534</v>
      </c>
      <c r="D43" s="13"/>
      <c r="E43" s="3">
        <v>180308</v>
      </c>
      <c r="F43" s="13"/>
      <c r="G43" s="3">
        <v>107788</v>
      </c>
      <c r="H43" s="13"/>
      <c r="I43" s="3">
        <v>4930</v>
      </c>
      <c r="J43" s="13"/>
      <c r="K43" s="3">
        <v>1738</v>
      </c>
    </row>
    <row r="44" spans="1:12" x14ac:dyDescent="0.2">
      <c r="A44" s="6" t="s">
        <v>43</v>
      </c>
      <c r="B44" s="22"/>
      <c r="C44" s="3">
        <v>164363</v>
      </c>
      <c r="D44" s="13"/>
      <c r="E44" s="3">
        <v>195162</v>
      </c>
      <c r="F44" s="13"/>
      <c r="G44" s="3">
        <v>95906</v>
      </c>
      <c r="H44" s="13"/>
      <c r="I44" s="3">
        <v>4091</v>
      </c>
      <c r="J44" s="13"/>
      <c r="K44" s="3">
        <v>1524</v>
      </c>
    </row>
    <row r="45" spans="1:12" x14ac:dyDescent="0.2">
      <c r="A45" s="6" t="s">
        <v>44</v>
      </c>
      <c r="B45" s="22"/>
      <c r="C45" s="3">
        <v>173362</v>
      </c>
      <c r="D45" s="13"/>
      <c r="E45" s="3">
        <v>218026</v>
      </c>
      <c r="F45" s="13"/>
      <c r="G45" s="3">
        <v>85298</v>
      </c>
      <c r="H45" s="13"/>
      <c r="I45" s="3">
        <v>5072</v>
      </c>
      <c r="J45" s="13"/>
      <c r="K45" s="3">
        <v>1097</v>
      </c>
    </row>
    <row r="46" spans="1:12" x14ac:dyDescent="0.2">
      <c r="A46" s="6" t="s">
        <v>45</v>
      </c>
      <c r="B46" s="22"/>
      <c r="C46" s="3">
        <v>183046</v>
      </c>
      <c r="D46" s="13"/>
      <c r="E46" s="3">
        <v>241051</v>
      </c>
      <c r="F46" s="13"/>
      <c r="G46" s="3">
        <v>85529</v>
      </c>
      <c r="H46" s="13"/>
      <c r="I46" s="3">
        <v>6293</v>
      </c>
      <c r="J46" s="13"/>
      <c r="K46" s="3">
        <v>1599</v>
      </c>
    </row>
    <row r="47" spans="1:12" ht="12.75" thickBot="1" x14ac:dyDescent="0.25">
      <c r="A47" s="6" t="s">
        <v>46</v>
      </c>
      <c r="B47" s="20"/>
      <c r="C47" s="32">
        <v>190689</v>
      </c>
      <c r="D47" s="14"/>
      <c r="E47" s="32">
        <v>245261</v>
      </c>
      <c r="F47" s="14"/>
      <c r="G47" s="32">
        <v>85496</v>
      </c>
      <c r="H47" s="14"/>
      <c r="I47" s="32">
        <v>6505</v>
      </c>
      <c r="J47" s="14"/>
      <c r="K47" s="32">
        <v>1841</v>
      </c>
      <c r="L47" s="43" t="s">
        <v>55</v>
      </c>
    </row>
    <row r="48" spans="1:12" x14ac:dyDescent="0.2">
      <c r="A48" s="6" t="s">
        <v>47</v>
      </c>
      <c r="B48" s="23"/>
      <c r="C48" s="31">
        <v>205250</v>
      </c>
      <c r="D48" s="15"/>
      <c r="E48" s="31">
        <v>236285</v>
      </c>
      <c r="F48" s="15"/>
      <c r="G48" s="31">
        <v>84511</v>
      </c>
      <c r="H48" s="15"/>
      <c r="I48" s="31">
        <v>7739</v>
      </c>
      <c r="J48" s="15"/>
      <c r="K48" s="31">
        <v>726</v>
      </c>
    </row>
    <row r="49" spans="1:12" ht="12.75" thickBot="1" x14ac:dyDescent="0.25">
      <c r="A49" s="6" t="s">
        <v>48</v>
      </c>
      <c r="B49" s="23"/>
      <c r="C49" s="32">
        <v>217128</v>
      </c>
      <c r="D49" s="14"/>
      <c r="E49" s="32">
        <v>212614</v>
      </c>
      <c r="F49" s="14"/>
      <c r="G49" s="32">
        <v>91773</v>
      </c>
      <c r="H49" s="14"/>
      <c r="I49" s="32">
        <v>5970</v>
      </c>
      <c r="J49" s="14"/>
      <c r="K49" s="32">
        <v>1453</v>
      </c>
      <c r="L49" s="47" t="s">
        <v>49</v>
      </c>
    </row>
    <row r="50" spans="1:12" x14ac:dyDescent="0.2">
      <c r="A50" s="7" t="s">
        <v>73</v>
      </c>
      <c r="B50" s="23"/>
    </row>
  </sheetData>
  <mergeCells count="2">
    <mergeCell ref="C2:K2"/>
    <mergeCell ref="C4:K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zoomScaleNormal="100" workbookViewId="0">
      <pane xSplit="2" ySplit="3" topLeftCell="C61" activePane="bottomRight" state="frozen"/>
      <selection pane="topRight" activeCell="C1" sqref="C1"/>
      <selection pane="bottomLeft" activeCell="A4" sqref="A4"/>
      <selection pane="bottomRight" activeCell="A75" sqref="A75"/>
    </sheetView>
  </sheetViews>
  <sheetFormatPr defaultColWidth="9.140625" defaultRowHeight="16.5" x14ac:dyDescent="0.3"/>
  <cols>
    <col min="1" max="1" width="9" style="52" customWidth="1"/>
    <col min="2" max="2" width="2.140625" style="52" customWidth="1"/>
    <col min="3" max="11" width="11.7109375" style="54" customWidth="1"/>
    <col min="12" max="12" width="11.7109375" style="52" customWidth="1"/>
    <col min="13" max="16384" width="9.140625" style="51"/>
  </cols>
  <sheetData>
    <row r="1" spans="1:12" ht="24.75" customHeight="1" thickBot="1" x14ac:dyDescent="0.35">
      <c r="A1" s="323" t="s">
        <v>72</v>
      </c>
      <c r="B1" s="324"/>
      <c r="C1" s="324"/>
      <c r="D1" s="324"/>
      <c r="E1" s="324"/>
      <c r="F1" s="324"/>
      <c r="G1" s="324"/>
      <c r="H1" s="324"/>
      <c r="I1" s="324"/>
      <c r="J1" s="324"/>
      <c r="K1" s="324"/>
      <c r="L1" s="324"/>
    </row>
    <row r="2" spans="1:12" ht="50.25" thickBot="1" x14ac:dyDescent="0.35">
      <c r="A2" s="328" t="s">
        <v>4</v>
      </c>
      <c r="B2" s="329"/>
      <c r="C2" s="143" t="s">
        <v>51</v>
      </c>
      <c r="D2" s="144" t="s">
        <v>145</v>
      </c>
      <c r="E2" s="144" t="s">
        <v>52</v>
      </c>
      <c r="F2" s="144" t="s">
        <v>53</v>
      </c>
      <c r="G2" s="144" t="s">
        <v>144</v>
      </c>
      <c r="H2" s="144" t="s">
        <v>54</v>
      </c>
      <c r="I2" s="144" t="s">
        <v>147</v>
      </c>
      <c r="J2" s="144" t="s">
        <v>0</v>
      </c>
      <c r="K2" s="145" t="s">
        <v>148</v>
      </c>
      <c r="L2" s="146" t="s">
        <v>153</v>
      </c>
    </row>
    <row r="3" spans="1:12" ht="21.75" customHeight="1" thickBot="1" x14ac:dyDescent="0.35">
      <c r="A3" s="325" t="s">
        <v>150</v>
      </c>
      <c r="B3" s="326"/>
      <c r="C3" s="326"/>
      <c r="D3" s="326"/>
      <c r="E3" s="326"/>
      <c r="F3" s="326"/>
      <c r="G3" s="326"/>
      <c r="H3" s="326"/>
      <c r="I3" s="326"/>
      <c r="J3" s="326"/>
      <c r="K3" s="326"/>
      <c r="L3" s="327"/>
    </row>
    <row r="4" spans="1:12" x14ac:dyDescent="0.3">
      <c r="A4" s="149" t="s">
        <v>5</v>
      </c>
      <c r="B4" s="116"/>
      <c r="C4" s="124">
        <f>SUM(Confectionery!C5+'F Biscuits'!C5+Pasta!C5+Other!C5+Private!C5)</f>
        <v>76769.085224000009</v>
      </c>
      <c r="D4" s="124"/>
      <c r="E4" s="124">
        <f>SUM(Confectionery!E5+'F Biscuits'!E5+Pasta!E5+Other!E5+Private!E5)</f>
        <v>138681.671672</v>
      </c>
      <c r="F4" s="124">
        <f>SUM(Confectionery!G5+'F Biscuits'!G5+Pasta!G5+Other!G5+Private!G5)</f>
        <v>43174.700927999998</v>
      </c>
      <c r="G4" s="124"/>
      <c r="H4" s="124">
        <f>SUM(Confectionery!I5+'F Biscuits'!I5+Pasta!I5+Other!I5+Private!I5)</f>
        <v>14551.684952</v>
      </c>
      <c r="I4" s="124"/>
      <c r="J4" s="124">
        <f>SUM(Confectionery!K5+'F Biscuits'!K5+Pasta!K5+Other!K5+Private!K5)</f>
        <v>553.38223999999991</v>
      </c>
      <c r="K4" s="135"/>
      <c r="L4" s="81">
        <v>693400</v>
      </c>
    </row>
    <row r="5" spans="1:12" x14ac:dyDescent="0.3">
      <c r="A5" s="150" t="s">
        <v>6</v>
      </c>
      <c r="B5" s="66"/>
      <c r="C5" s="122">
        <f>SUM(Confectionery!C6+'F Biscuits'!C6+Pasta!C6+Other!C6+Private!C6)</f>
        <v>103465.242384</v>
      </c>
      <c r="D5" s="122"/>
      <c r="E5" s="122">
        <f>SUM(Confectionery!E6+'F Biscuits'!E6+Pasta!E6+Other!E6+Private!E6)</f>
        <v>129928.253256</v>
      </c>
      <c r="F5" s="122">
        <f>SUM(Confectionery!G6+'F Biscuits'!G6+Pasta!G6+Other!G6+Private!G6)</f>
        <v>26822.255735999999</v>
      </c>
      <c r="G5" s="122"/>
      <c r="H5" s="122">
        <f>SUM(Confectionery!I6+'F Biscuits'!I6+Pasta!I6+Other!I6+Private!I6)</f>
        <v>31106.432176000002</v>
      </c>
      <c r="I5" s="122"/>
      <c r="J5" s="122">
        <f>SUM(Confectionery!K6+'F Biscuits'!K6+Pasta!K6+Other!K6+Private!K6)</f>
        <v>877.24692800000003</v>
      </c>
      <c r="K5" s="136"/>
      <c r="L5" s="75">
        <v>705400</v>
      </c>
    </row>
    <row r="6" spans="1:12" x14ac:dyDescent="0.3">
      <c r="A6" s="150" t="s">
        <v>7</v>
      </c>
      <c r="B6" s="66"/>
      <c r="C6" s="122">
        <f>SUM(Confectionery!C7+'F Biscuits'!C7+Pasta!C7+Other!C7+Private!C7)</f>
        <v>109075.26824</v>
      </c>
      <c r="D6" s="122"/>
      <c r="E6" s="122">
        <f>SUM(Confectionery!E7+'F Biscuits'!E7+Pasta!E7+Other!E7+Private!E7)</f>
        <v>146503.41212000002</v>
      </c>
      <c r="F6" s="122">
        <f>SUM(Confectionery!G7+'F Biscuits'!G7+Pasta!G7+Other!G7+Private!G7)</f>
        <v>27571.136127999998</v>
      </c>
      <c r="G6" s="122"/>
      <c r="H6" s="122">
        <f>SUM(Confectionery!I7+'F Biscuits'!I7+Pasta!I7+Other!I7+Private!I7)</f>
        <v>28863.419736</v>
      </c>
      <c r="I6" s="122"/>
      <c r="J6" s="122">
        <f>SUM(Confectionery!K7+'F Biscuits'!K7+Pasta!K7+Other!K7+Private!K7)</f>
        <v>803.76502399999993</v>
      </c>
      <c r="K6" s="136"/>
      <c r="L6" s="75">
        <v>784900</v>
      </c>
    </row>
    <row r="7" spans="1:12" x14ac:dyDescent="0.3">
      <c r="A7" s="150" t="s">
        <v>8</v>
      </c>
      <c r="B7" s="66"/>
      <c r="C7" s="122">
        <f>SUM(Confectionery!C8+'F Biscuits'!C8+Pasta!C8+Other!C8+Private!C8)</f>
        <v>111114.16428</v>
      </c>
      <c r="D7" s="122"/>
      <c r="E7" s="122">
        <f>SUM(Confectionery!E8+'F Biscuits'!E8+Pasta!E8+Other!E8+Private!E8)</f>
        <v>157749.31857600002</v>
      </c>
      <c r="F7" s="122">
        <f>SUM(Confectionery!G8+'F Biscuits'!G8+Pasta!G8+Other!G8+Private!G8)</f>
        <v>32758.867832</v>
      </c>
      <c r="G7" s="122"/>
      <c r="H7" s="122">
        <f>SUM(Confectionery!I8+'F Biscuits'!I8+Pasta!I8+Other!I8+Private!I8)</f>
        <v>24447.248024</v>
      </c>
      <c r="I7" s="122"/>
      <c r="J7" s="122">
        <f>SUM(Confectionery!K8+'F Biscuits'!K8+Pasta!K8+Other!K8+Private!K8)</f>
        <v>862.27839199999994</v>
      </c>
      <c r="K7" s="136"/>
      <c r="L7" s="75">
        <v>807900</v>
      </c>
    </row>
    <row r="8" spans="1:12" x14ac:dyDescent="0.3">
      <c r="A8" s="150" t="s">
        <v>9</v>
      </c>
      <c r="B8" s="66"/>
      <c r="C8" s="122">
        <f>SUM(Confectionery!C9+'F Biscuits'!C9+Pasta!C9+Other!C9+Private!C9)</f>
        <v>96826.469872000001</v>
      </c>
      <c r="D8" s="122"/>
      <c r="E8" s="122">
        <f>SUM(Confectionery!E9+'F Biscuits'!E9+Pasta!E9+Other!E9+Private!E9)</f>
        <v>175070.182688</v>
      </c>
      <c r="F8" s="122">
        <f>SUM(Confectionery!G9+'F Biscuits'!G9+Pasta!G9+Other!G9+Private!G9)</f>
        <v>38382.047855999997</v>
      </c>
      <c r="G8" s="122"/>
      <c r="H8" s="122">
        <f>SUM(Confectionery!I9+'F Biscuits'!I9+Pasta!I9+Other!I9+Private!I9)</f>
        <v>28557.245135999998</v>
      </c>
      <c r="I8" s="122"/>
      <c r="J8" s="122">
        <f>SUM(Confectionery!K9+'F Biscuits'!K9+Pasta!K9+Other!K9+Private!K9)</f>
        <v>1153.4844560000001</v>
      </c>
      <c r="K8" s="136"/>
      <c r="L8" s="75">
        <v>827600</v>
      </c>
    </row>
    <row r="9" spans="1:12" x14ac:dyDescent="0.3">
      <c r="A9" s="150" t="s">
        <v>10</v>
      </c>
      <c r="B9" s="66"/>
      <c r="C9" s="122">
        <f>SUM(Confectionery!C10+'F Biscuits'!C10+Pasta!C10+Other!C10+Private!C10)</f>
        <v>95853.515031999996</v>
      </c>
      <c r="D9" s="122"/>
      <c r="E9" s="122">
        <f>SUM(Confectionery!E10+'F Biscuits'!E10+Pasta!E10+Other!E10+Private!E10)</f>
        <v>149344.25881599999</v>
      </c>
      <c r="F9" s="122">
        <f>SUM(Confectionery!G10+'F Biscuits'!G10+Pasta!G10+Other!G10+Private!G10)</f>
        <v>47002.563816000002</v>
      </c>
      <c r="G9" s="122"/>
      <c r="H9" s="122">
        <f>SUM(Confectionery!I10+'F Biscuits'!I10+Pasta!I10+Other!I10+Private!I10)</f>
        <v>24470.834808</v>
      </c>
      <c r="I9" s="122"/>
      <c r="J9" s="122">
        <f>SUM(Confectionery!K10+'F Biscuits'!K10+Pasta!K10+Other!K10+Private!K10)</f>
        <v>876.33974399999988</v>
      </c>
      <c r="K9" s="136"/>
      <c r="L9" s="75">
        <v>800000</v>
      </c>
    </row>
    <row r="10" spans="1:12" x14ac:dyDescent="0.3">
      <c r="A10" s="150" t="s">
        <v>11</v>
      </c>
      <c r="B10" s="66"/>
      <c r="C10" s="122">
        <f>SUM(Confectionery!C11+'F Biscuits'!C11+Pasta!C11+Other!C11+Private!C11)</f>
        <v>101573.31015200001</v>
      </c>
      <c r="D10" s="122"/>
      <c r="E10" s="122">
        <f>SUM(Confectionery!E11+'F Biscuits'!E11+Pasta!E11+Other!E11+Private!E11)</f>
        <v>149862.26087999999</v>
      </c>
      <c r="F10" s="122">
        <f>SUM(Confectionery!G11+'F Biscuits'!G11+Pasta!G11+Other!G11+Private!G11)</f>
        <v>56828.273719999997</v>
      </c>
      <c r="G10" s="122"/>
      <c r="H10" s="122">
        <f>SUM(Confectionery!I11+'F Biscuits'!I11+Pasta!I11+Other!I11+Private!I11)</f>
        <v>24417.310952</v>
      </c>
      <c r="I10" s="122"/>
      <c r="J10" s="122">
        <f>SUM(Confectionery!K11+'F Biscuits'!K11+Pasta!K11+Other!K11+Private!K11)</f>
        <v>1085.8992479999999</v>
      </c>
      <c r="K10" s="136"/>
      <c r="L10" s="75">
        <v>837000</v>
      </c>
    </row>
    <row r="11" spans="1:12" x14ac:dyDescent="0.3">
      <c r="A11" s="150" t="s">
        <v>12</v>
      </c>
      <c r="B11" s="66"/>
      <c r="C11" s="122">
        <f>SUM(Confectionery!C12+'F Biscuits'!C12+Pasta!C12+Other!C12+Private!C12)</f>
        <v>100884.75749599999</v>
      </c>
      <c r="D11" s="122"/>
      <c r="E11" s="122">
        <f>SUM(Confectionery!E12+'F Biscuits'!E12+Pasta!E12+Other!E12+Private!E12)</f>
        <v>163370.684232</v>
      </c>
      <c r="F11" s="122">
        <f>SUM(Confectionery!G12+'F Biscuits'!G12+Pasta!G12+Other!G12+Private!G12)</f>
        <v>62171.437176000007</v>
      </c>
      <c r="G11" s="122"/>
      <c r="H11" s="122">
        <f>SUM(Confectionery!I12+'F Biscuits'!I12+Pasta!I12+Other!I12+Private!I12)</f>
        <v>23012.387631999998</v>
      </c>
      <c r="I11" s="122"/>
      <c r="J11" s="122">
        <f>SUM(Confectionery!K12+'F Biscuits'!K12+Pasta!K12+Other!K12+Private!K12)</f>
        <v>1580.5154320000001</v>
      </c>
      <c r="K11" s="136"/>
      <c r="L11" s="75">
        <v>886800</v>
      </c>
    </row>
    <row r="12" spans="1:12" x14ac:dyDescent="0.3">
      <c r="A12" s="150" t="s">
        <v>13</v>
      </c>
      <c r="B12" s="66"/>
      <c r="C12" s="122">
        <f>SUM(Confectionery!C13+'F Biscuits'!C13+Pasta!C13+Other!C13+Private!C13)</f>
        <v>98598.200224</v>
      </c>
      <c r="D12" s="122"/>
      <c r="E12" s="122">
        <f>SUM(Confectionery!E13+'F Biscuits'!E13+Pasta!E13+Other!E13+Private!E13)</f>
        <v>159704.30009599999</v>
      </c>
      <c r="F12" s="122">
        <f>SUM(Confectionery!G13+'F Biscuits'!G13+Pasta!G13+Other!G13+Private!G13)</f>
        <v>62333.973416000001</v>
      </c>
      <c r="G12" s="122"/>
      <c r="H12" s="122">
        <f>SUM(Confectionery!I13+'F Biscuits'!I13+Pasta!I13+Other!I13+Private!I13)</f>
        <v>21351.029031999999</v>
      </c>
      <c r="I12" s="122"/>
      <c r="J12" s="122">
        <f>SUM(Confectionery!K13+'F Biscuits'!K13+Pasta!K13+Other!K13+Private!K13)</f>
        <v>1249.6459600000001</v>
      </c>
      <c r="K12" s="136"/>
      <c r="L12" s="75">
        <v>867500</v>
      </c>
    </row>
    <row r="13" spans="1:12" x14ac:dyDescent="0.3">
      <c r="A13" s="150" t="s">
        <v>3</v>
      </c>
      <c r="B13" s="66"/>
      <c r="C13" s="122">
        <f>SUM(Confectionery!C14+'F Biscuits'!C14+Pasta!C14+Other!C14+Private!C14)</f>
        <v>95187.641975999999</v>
      </c>
      <c r="D13" s="122"/>
      <c r="E13" s="122">
        <f>SUM(Confectionery!E14+'F Biscuits'!E14+Pasta!E14+Other!E14+Private!E14)</f>
        <v>171903.20334399998</v>
      </c>
      <c r="F13" s="122">
        <f>SUM(Confectionery!G14+'F Biscuits'!G14+Pasta!G14+Other!G14+Private!G14)</f>
        <v>66771.01036</v>
      </c>
      <c r="G13" s="122"/>
      <c r="H13" s="122">
        <f>SUM(Confectionery!I14+'F Biscuits'!I14+Pasta!I14+Other!I14+Private!I14)</f>
        <v>20722.35052</v>
      </c>
      <c r="I13" s="122"/>
      <c r="J13" s="122">
        <f>SUM(Confectionery!K14+'F Biscuits'!K14+Pasta!K14+Other!K14+Private!K14)</f>
        <v>1635.652752</v>
      </c>
      <c r="K13" s="136"/>
      <c r="L13" s="75">
        <v>904600</v>
      </c>
    </row>
    <row r="14" spans="1:12" x14ac:dyDescent="0.3">
      <c r="A14" s="150" t="s">
        <v>14</v>
      </c>
      <c r="B14" s="66"/>
      <c r="C14" s="122">
        <f>SUM(Confectionery!C15+'F Biscuits'!C15+Pasta!C15+Other!C15+Private!C15)</f>
        <v>95202.156919999994</v>
      </c>
      <c r="D14" s="122"/>
      <c r="E14" s="122">
        <f>SUM(Confectionery!E15+'F Biscuits'!E15+Pasta!E15+Other!E15+Private!E15)</f>
        <v>167296.06940000001</v>
      </c>
      <c r="F14" s="122">
        <f>SUM(Confectionery!G15+'F Biscuits'!G15+Pasta!G15+Other!G15+Private!G15)</f>
        <v>71163.595287999997</v>
      </c>
      <c r="G14" s="122"/>
      <c r="H14" s="122">
        <f>SUM(Confectionery!I15+'F Biscuits'!I15+Pasta!I15+Other!I15+Private!I15)</f>
        <v>20739.133424</v>
      </c>
      <c r="I14" s="122"/>
      <c r="J14" s="122">
        <f>SUM(Confectionery!K15+'F Biscuits'!K15+Pasta!K15+Other!K15+Private!K15)</f>
        <v>1929.5803679999999</v>
      </c>
      <c r="K14" s="136"/>
      <c r="L14" s="75">
        <v>930700</v>
      </c>
    </row>
    <row r="15" spans="1:12" x14ac:dyDescent="0.3">
      <c r="A15" s="150" t="s">
        <v>15</v>
      </c>
      <c r="B15" s="66"/>
      <c r="C15" s="122">
        <f>SUM(Confectionery!C16+'F Biscuits'!C16+Pasta!C16+Other!C16+Private!C16)</f>
        <v>91654.160296000002</v>
      </c>
      <c r="D15" s="122"/>
      <c r="E15" s="122">
        <f>SUM(Confectionery!E16+'F Biscuits'!E16+Pasta!E16+Other!E16+Private!E16)</f>
        <v>163736.27938399999</v>
      </c>
      <c r="F15" s="122">
        <f>SUM(Confectionery!G16+'F Biscuits'!G16+Pasta!G16+Other!G16+Private!G16)</f>
        <v>81371.229655999996</v>
      </c>
      <c r="G15" s="122"/>
      <c r="H15" s="122">
        <f>SUM(Confectionery!I16+'F Biscuits'!I16+Pasta!I16+Other!I16+Private!I16)</f>
        <v>18590.014528</v>
      </c>
      <c r="I15" s="122"/>
      <c r="J15" s="122">
        <f>SUM(Confectionery!K16+'F Biscuits'!K16+Pasta!K16+Other!K16+Private!K16)</f>
        <v>2154.5619999999999</v>
      </c>
      <c r="K15" s="136"/>
      <c r="L15" s="75">
        <v>909400</v>
      </c>
    </row>
    <row r="16" spans="1:12" x14ac:dyDescent="0.3">
      <c r="A16" s="150" t="s">
        <v>16</v>
      </c>
      <c r="B16" s="66"/>
      <c r="C16" s="122">
        <f>SUM(Confectionery!C17+'F Biscuits'!C17+Pasta!C17+Other!C17+Private!C17)</f>
        <v>94700.03057599999</v>
      </c>
      <c r="D16" s="122"/>
      <c r="E16" s="122">
        <f>SUM(Confectionery!E17+'F Biscuits'!E17+Pasta!E17+Other!E17+Private!E17)</f>
        <v>161810.32775199998</v>
      </c>
      <c r="F16" s="122">
        <f>SUM(Confectionery!G17+'F Biscuits'!G17+Pasta!G17+Other!G17+Private!G17)</f>
        <v>65723.666431999998</v>
      </c>
      <c r="G16" s="122"/>
      <c r="H16" s="122">
        <f>SUM(Confectionery!I17+'F Biscuits'!I17+Pasta!I17+Other!I17+Private!I17)</f>
        <v>16627.775536000001</v>
      </c>
      <c r="I16" s="122"/>
      <c r="J16" s="122">
        <f>SUM(Confectionery!K17+'F Biscuits'!K17+Pasta!K17+Other!K17+Private!K17)</f>
        <v>3065.8283279999996</v>
      </c>
      <c r="K16" s="136"/>
      <c r="L16" s="75">
        <v>903300</v>
      </c>
    </row>
    <row r="17" spans="1:12" s="62" customFormat="1" x14ac:dyDescent="0.3">
      <c r="A17" s="150" t="s">
        <v>17</v>
      </c>
      <c r="B17" s="66"/>
      <c r="C17" s="122">
        <f>SUM(Confectionery!C18+'F Biscuits'!C18+Pasta!C18+Other!C18+Private!C18)</f>
        <v>94528.572799999994</v>
      </c>
      <c r="D17" s="122"/>
      <c r="E17" s="122">
        <f>SUM(Confectionery!E18+'F Biscuits'!E18+Pasta!E18+Other!E18+Private!E18)</f>
        <v>161513.22499199997</v>
      </c>
      <c r="F17" s="122">
        <f>SUM(Confectionery!G18+'F Biscuits'!G18+Pasta!G18+Other!G18+Private!G18)</f>
        <v>73235.603543999998</v>
      </c>
      <c r="G17" s="122"/>
      <c r="H17" s="122">
        <f>SUM(Confectionery!I18+'F Biscuits'!I18+Pasta!I18+Other!I18+Private!I18)</f>
        <v>17057.327160000001</v>
      </c>
      <c r="I17" s="122"/>
      <c r="J17" s="122">
        <f>SUM(Confectionery!K18+'F Biscuits'!K18+Pasta!K18+Other!K18+Private!K18)</f>
        <v>3527.1313919999998</v>
      </c>
      <c r="K17" s="137"/>
      <c r="L17" s="75">
        <v>918300</v>
      </c>
    </row>
    <row r="18" spans="1:12" x14ac:dyDescent="0.3">
      <c r="A18" s="150" t="s">
        <v>18</v>
      </c>
      <c r="B18" s="66"/>
      <c r="C18" s="122">
        <f>SUM(Confectionery!C19+'F Biscuits'!C19+Pasta!C19+Other!C19+Private!C19)</f>
        <v>100998</v>
      </c>
      <c r="D18" s="122"/>
      <c r="E18" s="122">
        <f>SUM(Confectionery!E19+'F Biscuits'!E19+Pasta!E19+Other!E19+Private!E19)</f>
        <v>163812</v>
      </c>
      <c r="F18" s="122">
        <f>SUM(Confectionery!G19+'F Biscuits'!G19+Pasta!G19+Other!G19+Private!G19)</f>
        <v>79845</v>
      </c>
      <c r="G18" s="122"/>
      <c r="H18" s="122">
        <f>SUM(Confectionery!I19+'F Biscuits'!I19+Pasta!I19+Other!I19+Private!I19)</f>
        <v>16377</v>
      </c>
      <c r="I18" s="122"/>
      <c r="J18" s="122">
        <f>SUM(Confectionery!K19+'F Biscuits'!K19+Pasta!K19+Other!K19+Private!K19)</f>
        <v>2867.0298320000002</v>
      </c>
      <c r="K18" s="136"/>
      <c r="L18" s="75">
        <v>974100</v>
      </c>
    </row>
    <row r="19" spans="1:12" x14ac:dyDescent="0.3">
      <c r="A19" s="150" t="s">
        <v>19</v>
      </c>
      <c r="B19" s="66"/>
      <c r="C19" s="122">
        <f>SUM(Confectionery!C20+'F Biscuits'!C20+Pasta!C20+Other!C20+Private!C20)</f>
        <v>108053</v>
      </c>
      <c r="D19" s="122"/>
      <c r="E19" s="122">
        <f>SUM(Confectionery!E20+'F Biscuits'!E20+Pasta!E20+Other!E20+Private!E20)</f>
        <v>172978</v>
      </c>
      <c r="F19" s="122">
        <f>SUM(Confectionery!G20+'F Biscuits'!G20+Pasta!G20+Other!G20+Private!G20)</f>
        <v>79410</v>
      </c>
      <c r="G19" s="122"/>
      <c r="H19" s="122">
        <f>SUM(Confectionery!I20+'F Biscuits'!I20+Pasta!I20+Other!I20+Private!I20)</f>
        <v>15693</v>
      </c>
      <c r="I19" s="122"/>
      <c r="J19" s="122">
        <f>SUM(Confectionery!K20+'F Biscuits'!K20+Pasta!K20+Other!K20+Private!K20)</f>
        <v>2997.71416</v>
      </c>
      <c r="K19" s="136"/>
      <c r="L19" s="75">
        <v>1018100</v>
      </c>
    </row>
    <row r="20" spans="1:12" x14ac:dyDescent="0.3">
      <c r="A20" s="150" t="s">
        <v>20</v>
      </c>
      <c r="B20" s="66"/>
      <c r="C20" s="122">
        <f>SUM(Confectionery!C21+'F Biscuits'!C21+Pasta!C21+Other!C21+Private!C21)</f>
        <v>107437</v>
      </c>
      <c r="D20" s="122"/>
      <c r="E20" s="122">
        <f>SUM(Confectionery!E21+'F Biscuits'!E21+Pasta!E21+Other!E21+Private!E21)</f>
        <v>194800</v>
      </c>
      <c r="F20" s="122">
        <f>SUM(Confectionery!G21+'F Biscuits'!G21+Pasta!G21+Other!G21+Private!G21)</f>
        <v>83408</v>
      </c>
      <c r="G20" s="122"/>
      <c r="H20" s="122">
        <f>SUM(Confectionery!I21+'F Biscuits'!I21+Pasta!I21+Other!I21+Private!I21)</f>
        <v>15436</v>
      </c>
      <c r="I20" s="122"/>
      <c r="J20" s="122">
        <f>SUM(Confectionery!K21+'F Biscuits'!K21+Pasta!K21+Other!K21+Private!K21)</f>
        <v>2561.8342560000001</v>
      </c>
      <c r="K20" s="136"/>
      <c r="L20" s="75">
        <v>1087500</v>
      </c>
    </row>
    <row r="21" spans="1:12" x14ac:dyDescent="0.3">
      <c r="A21" s="150" t="s">
        <v>21</v>
      </c>
      <c r="B21" s="66"/>
      <c r="C21" s="122">
        <f>SUM(Confectionery!C22+'F Biscuits'!C22+Pasta!C22+Other!C22+Private!C22)</f>
        <v>117322</v>
      </c>
      <c r="D21" s="122"/>
      <c r="E21" s="122">
        <f>SUM(Confectionery!E22+'F Biscuits'!E22+Pasta!E22+Other!E22+Private!E22)</f>
        <v>205439</v>
      </c>
      <c r="F21" s="122">
        <f>SUM(Confectionery!G22+'F Biscuits'!G22+Pasta!G22+Other!G22+Private!G22)</f>
        <v>86540</v>
      </c>
      <c r="G21" s="122"/>
      <c r="H21" s="122">
        <f>SUM(Confectionery!I22+'F Biscuits'!I22+Pasta!I22+Other!I22+Private!I22)</f>
        <v>15293</v>
      </c>
      <c r="I21" s="122"/>
      <c r="J21" s="122">
        <f>SUM(Confectionery!K22+'F Biscuits'!K22+Pasta!K22+Other!K22+Private!K22)</f>
        <v>2578.7131279999999</v>
      </c>
      <c r="K21" s="136"/>
      <c r="L21" s="75">
        <v>1343000</v>
      </c>
    </row>
    <row r="22" spans="1:12" x14ac:dyDescent="0.3">
      <c r="A22" s="150" t="s">
        <v>22</v>
      </c>
      <c r="B22" s="66"/>
      <c r="C22" s="122">
        <f>SUM(Confectionery!C23+'F Biscuits'!C23+Pasta!C23+Other!C23+Private!C23)</f>
        <v>114667</v>
      </c>
      <c r="D22" s="122"/>
      <c r="E22" s="122">
        <f>SUM(Confectionery!E23+'F Biscuits'!E23+Pasta!E23+Other!E23+Private!E23)</f>
        <v>206922</v>
      </c>
      <c r="F22" s="122">
        <f>SUM(Confectionery!G23+'F Biscuits'!G23+Pasta!G23+Other!G23+Private!G23)</f>
        <v>84637</v>
      </c>
      <c r="G22" s="122"/>
      <c r="H22" s="122">
        <f>SUM(Confectionery!I23+'F Biscuits'!I23+Pasta!I23+Other!I23+Private!I23)</f>
        <v>16609</v>
      </c>
      <c r="I22" s="122"/>
      <c r="J22" s="122">
        <f>SUM(Confectionery!K23+'F Biscuits'!K23+Pasta!K23+Other!K23+Private!K23)</f>
        <v>2676</v>
      </c>
      <c r="K22" s="136"/>
      <c r="L22" s="75">
        <v>962000</v>
      </c>
    </row>
    <row r="23" spans="1:12" x14ac:dyDescent="0.3">
      <c r="A23" s="150" t="s">
        <v>23</v>
      </c>
      <c r="B23" s="66"/>
      <c r="C23" s="122">
        <f>SUM(Confectionery!C24+'F Biscuits'!C24+Pasta!C24+Other!C24+Private!C24)</f>
        <v>118043</v>
      </c>
      <c r="D23" s="122"/>
      <c r="E23" s="122">
        <f>SUM(Confectionery!E24+'F Biscuits'!E24+Pasta!E24+Other!E24+Private!E24)</f>
        <v>218700</v>
      </c>
      <c r="F23" s="122">
        <f>SUM(Confectionery!G24+'F Biscuits'!G24+Pasta!G24+Other!G24+Private!G24)</f>
        <v>90248</v>
      </c>
      <c r="G23" s="122"/>
      <c r="H23" s="122">
        <f>SUM(Confectionery!I24+'F Biscuits'!I24+Pasta!I24+Other!I24+Private!I24)</f>
        <v>14244</v>
      </c>
      <c r="I23" s="122"/>
      <c r="J23" s="122">
        <f>SUM(Confectionery!K24+'F Biscuits'!K24+Pasta!K24+Other!K24+Private!K24)</f>
        <v>2591</v>
      </c>
      <c r="K23" s="136"/>
      <c r="L23" s="75">
        <v>1229000</v>
      </c>
    </row>
    <row r="24" spans="1:12" x14ac:dyDescent="0.3">
      <c r="A24" s="150" t="s">
        <v>24</v>
      </c>
      <c r="B24" s="66"/>
      <c r="C24" s="122">
        <f>SUM(Confectionery!C25+'F Biscuits'!C25+Pasta!C25+Other!C25+Private!C25)</f>
        <v>126972</v>
      </c>
      <c r="D24" s="122"/>
      <c r="E24" s="122">
        <f>SUM(Confectionery!E25+'F Biscuits'!E25+Pasta!E25+Other!E25+Private!E25)</f>
        <v>208633</v>
      </c>
      <c r="F24" s="122">
        <f>SUM(Confectionery!G25+'F Biscuits'!G25+Pasta!G25+Other!G25+Private!G25)</f>
        <v>84733</v>
      </c>
      <c r="G24" s="122"/>
      <c r="H24" s="122">
        <f>SUM(Confectionery!I25+'F Biscuits'!I25+Pasta!I25+Other!I25+Private!I25)</f>
        <v>11556</v>
      </c>
      <c r="I24" s="122"/>
      <c r="J24" s="122">
        <f>SUM(Confectionery!K25+'F Biscuits'!K25+Pasta!K25+Other!K25+Private!K25)</f>
        <v>4043</v>
      </c>
      <c r="K24" s="136"/>
      <c r="L24" s="75">
        <v>1250000</v>
      </c>
    </row>
    <row r="25" spans="1:12" x14ac:dyDescent="0.3">
      <c r="A25" s="150" t="s">
        <v>25</v>
      </c>
      <c r="B25" s="66"/>
      <c r="C25" s="122">
        <f>SUM(Confectionery!C26+'F Biscuits'!C26+Pasta!C26+Other!C26+Private!C26)</f>
        <v>127784</v>
      </c>
      <c r="D25" s="122"/>
      <c r="E25" s="122">
        <f>SUM(Confectionery!E26+'F Biscuits'!E26+Pasta!E26+Other!E26+Private!E26)</f>
        <v>222480</v>
      </c>
      <c r="F25" s="122">
        <f>SUM(Confectionery!G26+'F Biscuits'!G26+Pasta!G26+Other!G26+Private!G26)</f>
        <v>86475</v>
      </c>
      <c r="G25" s="122"/>
      <c r="H25" s="122">
        <f>SUM(Confectionery!I26+'F Biscuits'!I26+Pasta!I26+Other!I26+Private!I26)</f>
        <v>11337</v>
      </c>
      <c r="I25" s="122"/>
      <c r="J25" s="122">
        <f>SUM(Confectionery!K26+'F Biscuits'!K26+Pasta!K26+Other!K26+Private!K26)</f>
        <v>5285</v>
      </c>
      <c r="K25" s="136"/>
      <c r="L25" s="75">
        <v>1437000</v>
      </c>
    </row>
    <row r="26" spans="1:12" x14ac:dyDescent="0.3">
      <c r="A26" s="150" t="s">
        <v>26</v>
      </c>
      <c r="B26" s="66"/>
      <c r="C26" s="122">
        <f>SUM(Confectionery!C27+'F Biscuits'!C27+Pasta!C27+Other!C27+Private!C27)</f>
        <v>131544</v>
      </c>
      <c r="D26" s="122"/>
      <c r="E26" s="122">
        <f>SUM(Confectionery!E27+'F Biscuits'!E27+Pasta!E27+Other!E27+Private!E27)</f>
        <v>241409</v>
      </c>
      <c r="F26" s="122">
        <f>SUM(Confectionery!G27+'F Biscuits'!G27+Pasta!G27+Other!G27+Private!G27)</f>
        <v>88983</v>
      </c>
      <c r="G26" s="122"/>
      <c r="H26" s="122">
        <f>SUM(Confectionery!I27+'F Biscuits'!I27+Pasta!I27+Other!I27+Private!I27)</f>
        <v>11323</v>
      </c>
      <c r="I26" s="122"/>
      <c r="J26" s="122">
        <f>SUM(Confectionery!K27+'F Biscuits'!K27+Pasta!K27+Other!K27+Private!K27)</f>
        <v>2818</v>
      </c>
      <c r="K26" s="136"/>
      <c r="L26" s="75">
        <v>1165000</v>
      </c>
    </row>
    <row r="27" spans="1:12" x14ac:dyDescent="0.3">
      <c r="A27" s="151" t="s">
        <v>27</v>
      </c>
      <c r="B27" s="152" t="s">
        <v>139</v>
      </c>
      <c r="C27" s="122">
        <f>SUM(Confectionery!C28+'F Biscuits'!C28+Pasta!C28+Other!C28+Private!C28)</f>
        <v>137313</v>
      </c>
      <c r="D27" s="122"/>
      <c r="E27" s="122">
        <f>SUM(Confectionery!E28+'F Biscuits'!E28+Pasta!E28+Other!E28+Private!E28)</f>
        <v>245005</v>
      </c>
      <c r="F27" s="122">
        <f>SUM(Confectionery!G28+'F Biscuits'!G28+Pasta!G28+Other!G28+Private!G28)</f>
        <v>92356</v>
      </c>
      <c r="G27" s="122"/>
      <c r="H27" s="122">
        <f>SUM(Confectionery!I28+'F Biscuits'!I28+Pasta!I28+Other!I28+Private!I28)</f>
        <v>12175</v>
      </c>
      <c r="I27" s="122"/>
      <c r="J27" s="122">
        <f>SUM(Confectionery!K28+'F Biscuits'!K28+Pasta!K28+Other!K28+Private!K28)</f>
        <v>1892</v>
      </c>
      <c r="K27" s="138">
        <v>9686</v>
      </c>
      <c r="L27" s="75">
        <v>1402000</v>
      </c>
    </row>
    <row r="28" spans="1:12" x14ac:dyDescent="0.3">
      <c r="A28" s="150" t="s">
        <v>28</v>
      </c>
      <c r="B28" s="66"/>
      <c r="C28" s="122">
        <f>SUM(Confectionery!C29+'F Biscuits'!C29+Pasta!C29+Other!C29+Private!C29)</f>
        <v>143210</v>
      </c>
      <c r="D28" s="122"/>
      <c r="E28" s="122">
        <f>SUM(Confectionery!E29+'F Biscuits'!E29+Pasta!E29+Other!E29+Private!E29)</f>
        <v>264684</v>
      </c>
      <c r="F28" s="122">
        <f>SUM(Confectionery!G29+'F Biscuits'!G29+Pasta!G29+Other!G29+Private!G29)</f>
        <v>95511</v>
      </c>
      <c r="G28" s="122"/>
      <c r="H28" s="122">
        <f>SUM(Confectionery!I29+'F Biscuits'!I29+Pasta!I29+Other!I29+Private!I29)</f>
        <v>12291</v>
      </c>
      <c r="I28" s="122"/>
      <c r="J28" s="122">
        <f>SUM(Confectionery!K29+'F Biscuits'!K29+Pasta!K29+Other!K29+Private!K29)</f>
        <v>2882</v>
      </c>
      <c r="K28" s="138">
        <v>9370</v>
      </c>
      <c r="L28" s="75">
        <v>1288000</v>
      </c>
    </row>
    <row r="29" spans="1:12" x14ac:dyDescent="0.3">
      <c r="A29" s="150" t="s">
        <v>29</v>
      </c>
      <c r="B29" s="66"/>
      <c r="C29" s="122">
        <f>SUM(Confectionery!C30+'F Biscuits'!C30+Pasta!C30+Other!C30+Private!C30)</f>
        <v>158068</v>
      </c>
      <c r="D29" s="122"/>
      <c r="E29" s="122">
        <f>SUM(Confectionery!E30+'F Biscuits'!E30+Pasta!E30+Other!E30+Private!E30)</f>
        <v>283391</v>
      </c>
      <c r="F29" s="122">
        <f>SUM(Confectionery!G30+'F Biscuits'!G30+Pasta!G30+Other!G30+Private!G30)</f>
        <v>101271</v>
      </c>
      <c r="G29" s="122"/>
      <c r="H29" s="122">
        <f>SUM(Confectionery!I30+'F Biscuits'!I30+Pasta!I30+Other!I30+Private!I30)</f>
        <v>13711</v>
      </c>
      <c r="I29" s="122"/>
      <c r="J29" s="122">
        <f>SUM(Confectionery!K30+'F Biscuits'!K30+Pasta!K30+Other!K30+Private!K30)</f>
        <v>8236</v>
      </c>
      <c r="K29" s="138">
        <v>7941</v>
      </c>
      <c r="L29" s="75">
        <v>1483000</v>
      </c>
    </row>
    <row r="30" spans="1:12" x14ac:dyDescent="0.3">
      <c r="A30" s="150" t="s">
        <v>30</v>
      </c>
      <c r="B30" s="66"/>
      <c r="C30" s="122">
        <f>SUM(Confectionery!C31+'F Biscuits'!C31+Pasta!C31+Other!C31+Private!C31)</f>
        <v>151690</v>
      </c>
      <c r="D30" s="122"/>
      <c r="E30" s="122">
        <f>SUM(Confectionery!E31+'F Biscuits'!E31+Pasta!E31+Other!E31+Private!E31)</f>
        <v>294609</v>
      </c>
      <c r="F30" s="122">
        <f>SUM(Confectionery!G31+'F Biscuits'!G31+Pasta!G31+Other!G31+Private!G31)</f>
        <v>99538</v>
      </c>
      <c r="G30" s="122"/>
      <c r="H30" s="122">
        <f>SUM(Confectionery!I31+'F Biscuits'!I31+Pasta!I31+Other!I31+Private!I31)</f>
        <v>14166</v>
      </c>
      <c r="I30" s="122"/>
      <c r="J30" s="122">
        <f>SUM(Confectionery!K31+'F Biscuits'!K31+Pasta!K31+Other!K31+Private!K31)</f>
        <v>9207</v>
      </c>
      <c r="K30" s="138">
        <v>4911</v>
      </c>
      <c r="L30" s="75">
        <v>1612000</v>
      </c>
    </row>
    <row r="31" spans="1:12" x14ac:dyDescent="0.3">
      <c r="A31" s="150" t="s">
        <v>31</v>
      </c>
      <c r="B31" s="66"/>
      <c r="C31" s="122">
        <f>SUM(Confectionery!C32+'F Biscuits'!C32+Pasta!C32+Other!C32+Private!C32)</f>
        <v>152431</v>
      </c>
      <c r="D31" s="122"/>
      <c r="E31" s="123">
        <f>SUM(Confectionery!E32+'F Biscuits'!E32+Pasta!E32+Other!E32+Private!E32)</f>
        <v>319580</v>
      </c>
      <c r="F31" s="122">
        <f>SUM(Confectionery!G32+'F Biscuits'!G32+Pasta!G32+Other!G32+Private!G32)</f>
        <v>115188</v>
      </c>
      <c r="G31" s="122"/>
      <c r="H31" s="122">
        <f>SUM(Confectionery!I32+'F Biscuits'!I32+Pasta!I32+Other!I32+Private!I32)</f>
        <v>15576</v>
      </c>
      <c r="I31" s="122"/>
      <c r="J31" s="122">
        <f>SUM(Confectionery!K32+'F Biscuits'!K32+Pasta!K32+Other!K32+Private!K32)</f>
        <v>15830</v>
      </c>
      <c r="K31" s="138">
        <v>4400</v>
      </c>
      <c r="L31" s="75">
        <v>1709000</v>
      </c>
    </row>
    <row r="32" spans="1:12" x14ac:dyDescent="0.3">
      <c r="A32" s="150" t="s">
        <v>32</v>
      </c>
      <c r="B32" s="66"/>
      <c r="C32" s="122">
        <f>SUM(Confectionery!C33+'F Biscuits'!C33+Pasta!C33+Other!C33+Private!C33)</f>
        <v>149689</v>
      </c>
      <c r="D32" s="122"/>
      <c r="E32" s="122">
        <f>SUM(Confectionery!E33+'F Biscuits'!E33+Pasta!E33+Other!E33+Private!E33)</f>
        <v>285606</v>
      </c>
      <c r="F32" s="122">
        <f>SUM(Confectionery!G33+'F Biscuits'!G33+Pasta!G33+Other!G33+Private!G33)</f>
        <v>114315</v>
      </c>
      <c r="G32" s="122"/>
      <c r="H32" s="122">
        <f>SUM(Confectionery!I33+'F Biscuits'!I33+Pasta!I33+Other!I33+Private!I33)</f>
        <v>15886</v>
      </c>
      <c r="I32" s="122"/>
      <c r="J32" s="122">
        <f>SUM(Confectionery!K33+'F Biscuits'!K33+Pasta!K33+Other!K33+Private!K33)</f>
        <v>8234</v>
      </c>
      <c r="K32" s="138">
        <v>4031</v>
      </c>
      <c r="L32" s="75">
        <v>1681000</v>
      </c>
    </row>
    <row r="33" spans="1:12" x14ac:dyDescent="0.3">
      <c r="A33" s="150" t="s">
        <v>33</v>
      </c>
      <c r="B33" s="66"/>
      <c r="C33" s="122">
        <f>SUM(Confectionery!C34+'F Biscuits'!C34+Pasta!C34+Other!C34+Private!C34)</f>
        <v>173647</v>
      </c>
      <c r="D33" s="122"/>
      <c r="E33" s="122">
        <f>SUM(Confectionery!E34+'F Biscuits'!E34+Pasta!E34+Other!E34+Private!E34)</f>
        <v>267374</v>
      </c>
      <c r="F33" s="122">
        <f>SUM(Confectionery!G34+'F Biscuits'!G34+Pasta!G34+Other!G34+Private!G34)</f>
        <v>103574</v>
      </c>
      <c r="G33" s="122"/>
      <c r="H33" s="122">
        <f>SUM(Confectionery!I34+'F Biscuits'!I34+Pasta!I34+Other!I34+Private!I34)</f>
        <v>16503</v>
      </c>
      <c r="I33" s="122"/>
      <c r="J33" s="122">
        <f>SUM(Confectionery!K34+'F Biscuits'!K34+Pasta!K34+Other!K34+Private!K34)</f>
        <v>9205</v>
      </c>
      <c r="K33" s="138">
        <v>3298</v>
      </c>
      <c r="L33" s="75">
        <v>1675000</v>
      </c>
    </row>
    <row r="34" spans="1:12" x14ac:dyDescent="0.3">
      <c r="A34" s="150" t="s">
        <v>34</v>
      </c>
      <c r="B34" s="66"/>
      <c r="C34" s="122">
        <f>SUM(Confectionery!C35+'F Biscuits'!C35+Pasta!C35+Other!C35+Private!C35)</f>
        <v>183408</v>
      </c>
      <c r="D34" s="122"/>
      <c r="E34" s="122">
        <f>SUM(Confectionery!E35+'F Biscuits'!E35+Pasta!E35+Other!E35+Private!E35)</f>
        <v>250423</v>
      </c>
      <c r="F34" s="122">
        <f>SUM(Confectionery!G35+'F Biscuits'!G35+Pasta!G35+Other!G35+Private!G35)</f>
        <v>105989</v>
      </c>
      <c r="G34" s="122"/>
      <c r="H34" s="122">
        <f>SUM(Confectionery!I35+'F Biscuits'!I35+Pasta!I35+Other!I35+Private!I35)</f>
        <v>15124</v>
      </c>
      <c r="I34" s="122"/>
      <c r="J34" s="122">
        <f>SUM(Confectionery!K35+'F Biscuits'!K35+Pasta!K35+Other!K35+Private!K35)</f>
        <v>12668</v>
      </c>
      <c r="K34" s="138">
        <v>1346</v>
      </c>
      <c r="L34" s="75">
        <v>1903000</v>
      </c>
    </row>
    <row r="35" spans="1:12" x14ac:dyDescent="0.3">
      <c r="A35" s="150" t="s">
        <v>35</v>
      </c>
      <c r="B35" s="66"/>
      <c r="C35" s="122">
        <f>SUM(Confectionery!C36+'F Biscuits'!C36+Pasta!C36+Other!C36+Private!C36)</f>
        <v>186426</v>
      </c>
      <c r="D35" s="122"/>
      <c r="E35" s="122">
        <f>SUM(Confectionery!E36+'F Biscuits'!E36+Pasta!E36+Other!E36+Private!E36)</f>
        <v>211293</v>
      </c>
      <c r="F35" s="122">
        <f>SUM(Confectionery!G36+'F Biscuits'!G36+Pasta!G36+Other!G36+Private!G36)</f>
        <v>99021</v>
      </c>
      <c r="G35" s="122"/>
      <c r="H35" s="122">
        <f>SUM(Confectionery!I36+'F Biscuits'!I36+Pasta!I36+Other!I36+Private!I36)</f>
        <v>13136</v>
      </c>
      <c r="I35" s="122"/>
      <c r="J35" s="122">
        <f>SUM(Confectionery!K36+'F Biscuits'!K36+Pasta!K36+Other!K36+Private!K36)</f>
        <v>13186</v>
      </c>
      <c r="K35" s="138">
        <v>267</v>
      </c>
      <c r="L35" s="75">
        <v>1781000</v>
      </c>
    </row>
    <row r="36" spans="1:12" x14ac:dyDescent="0.3">
      <c r="A36" s="153" t="s">
        <v>36</v>
      </c>
      <c r="B36" s="154"/>
      <c r="C36" s="122">
        <f>SUM(Confectionery!C37+'F Biscuits'!C37+Pasta!C37+Other!C37+Private!C37)</f>
        <v>208108</v>
      </c>
      <c r="D36" s="122"/>
      <c r="E36" s="122">
        <f>SUM(Confectionery!E37+'F Biscuits'!E37+Pasta!E37+Other!E37+Private!E37)</f>
        <v>249874</v>
      </c>
      <c r="F36" s="122">
        <f>SUM(Confectionery!G37+'F Biscuits'!G37+Pasta!G37+Other!G37+Private!G37)</f>
        <v>105600</v>
      </c>
      <c r="G36" s="122"/>
      <c r="H36" s="122">
        <f>SUM(Confectionery!I37+'F Biscuits'!I37+Pasta!I37+Other!I37+Private!I37)</f>
        <v>15526</v>
      </c>
      <c r="I36" s="122"/>
      <c r="J36" s="122">
        <f>SUM(Confectionery!K37+'F Biscuits'!K37+Pasta!K37+Other!K37+Private!K37)</f>
        <v>14951</v>
      </c>
      <c r="K36" s="138">
        <v>460</v>
      </c>
      <c r="L36" s="75">
        <v>2030000</v>
      </c>
    </row>
    <row r="37" spans="1:12" x14ac:dyDescent="0.3">
      <c r="A37" s="153" t="s">
        <v>37</v>
      </c>
      <c r="B37" s="154"/>
      <c r="C37" s="122">
        <f>SUM(Confectionery!C38+'F Biscuits'!C38+Pasta!C38+Other!C38+Private!C38)</f>
        <v>194823</v>
      </c>
      <c r="D37" s="122"/>
      <c r="E37" s="122">
        <f>SUM(Confectionery!E38+'F Biscuits'!E38+Pasta!E38+Other!E38+Private!E38)</f>
        <v>213955</v>
      </c>
      <c r="F37" s="122">
        <f>SUM(Confectionery!G38+'F Biscuits'!G38+Pasta!G38+Other!G38+Private!G38)</f>
        <v>106035</v>
      </c>
      <c r="G37" s="122"/>
      <c r="H37" s="122">
        <f>SUM(Confectionery!I38+'F Biscuits'!I38+Pasta!I38+Other!I38+Private!I38)</f>
        <v>11071</v>
      </c>
      <c r="I37" s="122"/>
      <c r="J37" s="122">
        <f>SUM(Confectionery!K38+'F Biscuits'!K38+Pasta!K38+Other!K38+Private!K38)</f>
        <v>12184</v>
      </c>
      <c r="K37" s="138">
        <v>2072</v>
      </c>
      <c r="L37" s="75">
        <v>1998000</v>
      </c>
    </row>
    <row r="38" spans="1:12" x14ac:dyDescent="0.3">
      <c r="A38" s="153" t="s">
        <v>38</v>
      </c>
      <c r="B38" s="154"/>
      <c r="C38" s="122">
        <f>SUM(Confectionery!C39+'F Biscuits'!C39+Pasta!C39+Other!C39+Private!C39)</f>
        <v>195599</v>
      </c>
      <c r="D38" s="122"/>
      <c r="E38" s="122">
        <f>SUM(Confectionery!E39+'F Biscuits'!E39+Pasta!E39+Other!E39+Private!E39)</f>
        <v>200812</v>
      </c>
      <c r="F38" s="122">
        <f>SUM(Confectionery!G39+'F Biscuits'!G39+Pasta!G39+Other!G39+Private!G39)</f>
        <v>105461</v>
      </c>
      <c r="G38" s="122"/>
      <c r="H38" s="122">
        <f>SUM(Confectionery!I39+'F Biscuits'!I39+Pasta!I39+Other!I39+Private!I39)</f>
        <v>10753</v>
      </c>
      <c r="I38" s="122"/>
      <c r="J38" s="122">
        <f>SUM(Confectionery!K39+'F Biscuits'!K39+Pasta!K39+Other!K39+Private!K39)</f>
        <v>12452</v>
      </c>
      <c r="K38" s="138">
        <v>652</v>
      </c>
      <c r="L38" s="75">
        <v>1983000</v>
      </c>
    </row>
    <row r="39" spans="1:12" x14ac:dyDescent="0.3">
      <c r="A39" s="153" t="s">
        <v>39</v>
      </c>
      <c r="B39" s="154"/>
      <c r="C39" s="122">
        <f>SUM(Confectionery!C40+'F Biscuits'!C40+Pasta!C40+Other!C40+Private!C40)</f>
        <v>226515</v>
      </c>
      <c r="D39" s="122"/>
      <c r="E39" s="122">
        <f>SUM(Confectionery!E40+'F Biscuits'!E40+Pasta!E40+Other!E40+Private!E40)</f>
        <v>218233</v>
      </c>
      <c r="F39" s="122">
        <f>SUM(Confectionery!G40+'F Biscuits'!G40+Pasta!G40+Other!G40+Private!G40)</f>
        <v>126768</v>
      </c>
      <c r="G39" s="122"/>
      <c r="H39" s="122">
        <f>SUM(Confectionery!I40+'F Biscuits'!I40+Pasta!I40+Other!I40+Private!I40)</f>
        <v>12244</v>
      </c>
      <c r="I39" s="122"/>
      <c r="J39" s="122">
        <f>SUM(Confectionery!K40+'F Biscuits'!K40+Pasta!K40+Other!K40+Private!K40)</f>
        <v>7411</v>
      </c>
      <c r="K39" s="138">
        <v>6158</v>
      </c>
      <c r="L39" s="75">
        <v>2388000</v>
      </c>
    </row>
    <row r="40" spans="1:12" x14ac:dyDescent="0.3">
      <c r="A40" s="153" t="s">
        <v>40</v>
      </c>
      <c r="B40" s="154"/>
      <c r="C40" s="122">
        <f>SUM(Confectionery!C41+'F Biscuits'!C41+Pasta!C41+Other!C41+Private!C41)</f>
        <v>218446</v>
      </c>
      <c r="D40" s="122"/>
      <c r="E40" s="122">
        <f>SUM(Confectionery!E41+'F Biscuits'!E41+Pasta!E41+Other!E41+Private!E41)</f>
        <v>215720</v>
      </c>
      <c r="F40" s="122">
        <f>SUM(Confectionery!G41+'F Biscuits'!G41+Pasta!G41+Other!G41+Private!G41)</f>
        <v>117874</v>
      </c>
      <c r="G40" s="122"/>
      <c r="H40" s="122">
        <f>SUM(Confectionery!I41+'F Biscuits'!I41+Pasta!I41+Other!I41+Private!I41)</f>
        <v>12545</v>
      </c>
      <c r="I40" s="122"/>
      <c r="J40" s="122">
        <f>SUM(Confectionery!K41+'F Biscuits'!K41+Pasta!K41+Other!K41+Private!K41)</f>
        <v>2675</v>
      </c>
      <c r="K40" s="138">
        <v>9638</v>
      </c>
      <c r="L40" s="75">
        <v>2232000</v>
      </c>
    </row>
    <row r="41" spans="1:12" x14ac:dyDescent="0.3">
      <c r="A41" s="153" t="s">
        <v>41</v>
      </c>
      <c r="B41" s="154"/>
      <c r="C41" s="122">
        <f>SUM(Confectionery!C42+'F Biscuits'!C42+Pasta!C42+Other!C42+Private!C42)</f>
        <v>214325</v>
      </c>
      <c r="D41" s="122"/>
      <c r="E41" s="122">
        <f>SUM(Confectionery!E42+'F Biscuits'!E42+Pasta!E42+Other!E42+Private!E42)</f>
        <v>211353</v>
      </c>
      <c r="F41" s="122">
        <f>SUM(Confectionery!G42+'F Biscuits'!G42+Pasta!G42+Other!G42+Private!G42)</f>
        <v>114326</v>
      </c>
      <c r="G41" s="122"/>
      <c r="H41" s="122">
        <f>SUM(Confectionery!I42+'F Biscuits'!I42+Pasta!I42+Other!I42+Private!I42)</f>
        <v>12369</v>
      </c>
      <c r="I41" s="122"/>
      <c r="J41" s="122">
        <f>SUM(Confectionery!K42+'F Biscuits'!K42+Pasta!K42+Other!K42+Private!K42)</f>
        <v>2519</v>
      </c>
      <c r="K41" s="138">
        <v>14003</v>
      </c>
      <c r="L41" s="75">
        <v>2236000</v>
      </c>
    </row>
    <row r="42" spans="1:12" x14ac:dyDescent="0.3">
      <c r="A42" s="153" t="s">
        <v>42</v>
      </c>
      <c r="B42" s="154"/>
      <c r="C42" s="122">
        <f>SUM(Confectionery!C43+'F Biscuits'!C43+Pasta!C43+Other!C43+Private!C43)</f>
        <v>225572</v>
      </c>
      <c r="D42" s="122"/>
      <c r="E42" s="122">
        <f>SUM(Confectionery!E43+'F Biscuits'!E43+Pasta!E43+Other!E43+Private!E43)</f>
        <v>219206</v>
      </c>
      <c r="F42" s="122">
        <f>SUM(Confectionery!G43+'F Biscuits'!G43+Pasta!G43+Other!G43+Private!G43)</f>
        <v>115058</v>
      </c>
      <c r="G42" s="122"/>
      <c r="H42" s="122">
        <f>SUM(Confectionery!I43+'F Biscuits'!I43+Pasta!I43+Other!I43+Private!I43)</f>
        <v>11155</v>
      </c>
      <c r="I42" s="122"/>
      <c r="J42" s="122">
        <f>SUM(Confectionery!K43+'F Biscuits'!K43+Pasta!K43+Other!K43+Private!K43)</f>
        <v>5852</v>
      </c>
      <c r="K42" s="138">
        <v>13307</v>
      </c>
      <c r="L42" s="75">
        <v>2345000</v>
      </c>
    </row>
    <row r="43" spans="1:12" x14ac:dyDescent="0.3">
      <c r="A43" s="153" t="s">
        <v>43</v>
      </c>
      <c r="B43" s="154"/>
      <c r="C43" s="122">
        <f>SUM(Confectionery!C44+'F Biscuits'!C44+Pasta!C44+Other!C44+Private!C44)</f>
        <v>242463</v>
      </c>
      <c r="D43" s="122"/>
      <c r="E43" s="122">
        <f>SUM(Confectionery!E44+'F Biscuits'!E44+Pasta!E44+Other!E44+Private!E44)</f>
        <v>236075</v>
      </c>
      <c r="F43" s="122">
        <f>SUM(Confectionery!G44+'F Biscuits'!G44+Pasta!G44+Other!G44+Private!G44)</f>
        <v>104631</v>
      </c>
      <c r="G43" s="122"/>
      <c r="H43" s="122">
        <f>SUM(Confectionery!I44+'F Biscuits'!I44+Pasta!I44+Other!I44+Private!I44)</f>
        <v>11124</v>
      </c>
      <c r="I43" s="122"/>
      <c r="J43" s="122">
        <f>SUM(Confectionery!K44+'F Biscuits'!K44+Pasta!K44+Other!K44+Private!K44)</f>
        <v>5796</v>
      </c>
      <c r="K43" s="138">
        <v>11775</v>
      </c>
      <c r="L43" s="75">
        <v>2614019</v>
      </c>
    </row>
    <row r="44" spans="1:12" x14ac:dyDescent="0.3">
      <c r="A44" s="153" t="s">
        <v>44</v>
      </c>
      <c r="B44" s="154"/>
      <c r="C44" s="122">
        <f>SUM(Confectionery!C45+'F Biscuits'!C45+Pasta!C45+Other!C45+Private!C45)</f>
        <v>261997</v>
      </c>
      <c r="D44" s="122"/>
      <c r="E44" s="122">
        <f>SUM(Confectionery!E45+'F Biscuits'!E45+Pasta!E45+Other!E45+Private!E45)</f>
        <v>260553</v>
      </c>
      <c r="F44" s="122">
        <f>SUM(Confectionery!G45+'F Biscuits'!G45+Pasta!G45+Other!G45+Private!G45)</f>
        <v>95415</v>
      </c>
      <c r="G44" s="122"/>
      <c r="H44" s="122">
        <f>SUM(Confectionery!I45+'F Biscuits'!I45+Pasta!I45+Other!I45+Private!I45)</f>
        <v>11699</v>
      </c>
      <c r="I44" s="122"/>
      <c r="J44" s="122">
        <f>SUM(Confectionery!K45+'F Biscuits'!K45+Pasta!K45+Other!K45+Private!K45)</f>
        <v>4407</v>
      </c>
      <c r="K44" s="136"/>
      <c r="L44" s="75">
        <v>2349962</v>
      </c>
    </row>
    <row r="45" spans="1:12" x14ac:dyDescent="0.3">
      <c r="A45" s="153" t="s">
        <v>45</v>
      </c>
      <c r="B45" s="154"/>
      <c r="C45" s="122">
        <f>SUM(Confectionery!C46+'F Biscuits'!C46+Pasta!C46+Other!C46+Private!C46)</f>
        <v>281013</v>
      </c>
      <c r="D45" s="122"/>
      <c r="E45" s="122">
        <f>SUM(Confectionery!E46+'F Biscuits'!E46+Pasta!E46+Other!E46+Private!E46)</f>
        <v>286072</v>
      </c>
      <c r="F45" s="122">
        <f>SUM(Confectionery!G46+'F Biscuits'!G46+Pasta!G46+Other!G46+Private!G46)</f>
        <v>95379</v>
      </c>
      <c r="G45" s="122"/>
      <c r="H45" s="122">
        <f>SUM(Confectionery!I46+'F Biscuits'!I46+Pasta!I46+Other!I46+Private!I46)</f>
        <v>12773</v>
      </c>
      <c r="I45" s="122"/>
      <c r="J45" s="122">
        <f>SUM(Confectionery!K46+'F Biscuits'!K46+Pasta!K46+Other!K46+Private!K46)</f>
        <v>3495</v>
      </c>
      <c r="K45" s="136"/>
      <c r="L45" s="75">
        <v>2307429</v>
      </c>
    </row>
    <row r="46" spans="1:12" x14ac:dyDescent="0.3">
      <c r="A46" s="153" t="s">
        <v>46</v>
      </c>
      <c r="B46" s="154"/>
      <c r="C46" s="122">
        <f>SUM(Confectionery!C47+'F Biscuits'!C47+Pasta!C47+Other!C47+Private!C47)</f>
        <v>278205</v>
      </c>
      <c r="D46" s="122"/>
      <c r="E46" s="122">
        <f>SUM(Confectionery!E47+'F Biscuits'!E47+Pasta!E47+Other!E47+Private!E47)</f>
        <v>288768</v>
      </c>
      <c r="F46" s="122">
        <f>SUM(Confectionery!G47+'F Biscuits'!G47+Pasta!G47+Other!G47+Private!G47)</f>
        <v>95443</v>
      </c>
      <c r="G46" s="122"/>
      <c r="H46" s="122">
        <f>SUM(Confectionery!I47+'F Biscuits'!I47+Pasta!I47+Other!I47+Private!I47)</f>
        <v>13491</v>
      </c>
      <c r="I46" s="122"/>
      <c r="J46" s="122">
        <f>SUM(Confectionery!K47+'F Biscuits'!K47+Pasta!K47+Other!K47+Private!K47)</f>
        <v>4258</v>
      </c>
      <c r="K46" s="136"/>
      <c r="L46" s="75">
        <v>2173797</v>
      </c>
    </row>
    <row r="47" spans="1:12" x14ac:dyDescent="0.3">
      <c r="A47" s="153" t="s">
        <v>47</v>
      </c>
      <c r="B47" s="154"/>
      <c r="C47" s="122">
        <f>SUM(Confectionery!C48+'F Biscuits'!C48+Pasta!C48+Other!C48+Private!C48)</f>
        <v>285139</v>
      </c>
      <c r="D47" s="122"/>
      <c r="E47" s="122">
        <f>SUM(Confectionery!E48+'F Biscuits'!E48+Pasta!E48+Other!E48+Private!E48)</f>
        <v>267583</v>
      </c>
      <c r="F47" s="122">
        <f>SUM(Confectionery!G48+'F Biscuits'!G48+Pasta!G48+Other!G48+Private!G48)</f>
        <v>91447</v>
      </c>
      <c r="G47" s="122"/>
      <c r="H47" s="122">
        <f>SUM(Confectionery!I48+'F Biscuits'!I48+Pasta!I48+Other!I48+Private!I48)</f>
        <v>14055</v>
      </c>
      <c r="I47" s="122"/>
      <c r="J47" s="122">
        <f>SUM(Confectionery!K48+'F Biscuits'!K48+Pasta!K48+Other!K48+Private!K48)</f>
        <v>20884</v>
      </c>
      <c r="K47" s="136"/>
      <c r="L47" s="75">
        <v>2142905</v>
      </c>
    </row>
    <row r="48" spans="1:12" x14ac:dyDescent="0.3">
      <c r="A48" s="153" t="s">
        <v>48</v>
      </c>
      <c r="B48" s="154"/>
      <c r="C48" s="122">
        <f>SUM(Confectionery!C49+'F Biscuits'!C49+Pasta!C49+Other!C49+Private!C49)</f>
        <v>293651</v>
      </c>
      <c r="D48" s="122"/>
      <c r="E48" s="122">
        <f>SUM(Confectionery!E49+'F Biscuits'!E49+Pasta!E49+Other!E49+Private!E49)</f>
        <v>250298</v>
      </c>
      <c r="F48" s="122">
        <f>SUM(Confectionery!G49+'F Biscuits'!G49+Pasta!G49+Other!G49+Private!G49)</f>
        <v>100096</v>
      </c>
      <c r="G48" s="122"/>
      <c r="H48" s="122">
        <f>SUM(Confectionery!I49+'F Biscuits'!I49+Pasta!I49+Other!I49+Private!I49)</f>
        <v>11905</v>
      </c>
      <c r="I48" s="122"/>
      <c r="J48" s="122">
        <f>SUM(Confectionery!K49+'F Biscuits'!K49+Pasta!K49+Other!K49+Private!K49)</f>
        <v>20816</v>
      </c>
      <c r="K48" s="136"/>
      <c r="L48" s="75">
        <v>2132378</v>
      </c>
    </row>
    <row r="49" spans="1:12" x14ac:dyDescent="0.3">
      <c r="A49" s="155" t="s">
        <v>109</v>
      </c>
      <c r="B49" s="156"/>
      <c r="C49" s="122"/>
      <c r="D49" s="122"/>
      <c r="E49" s="122"/>
      <c r="F49" s="122"/>
      <c r="G49" s="122"/>
      <c r="H49" s="122"/>
      <c r="I49" s="122"/>
      <c r="J49" s="122"/>
      <c r="K49" s="136"/>
      <c r="L49" s="75">
        <v>2259101</v>
      </c>
    </row>
    <row r="50" spans="1:12" x14ac:dyDescent="0.3">
      <c r="A50" s="155" t="s">
        <v>110</v>
      </c>
      <c r="B50" s="156"/>
      <c r="C50" s="122"/>
      <c r="D50" s="122"/>
      <c r="E50" s="122"/>
      <c r="F50" s="122"/>
      <c r="G50" s="122"/>
      <c r="H50" s="122"/>
      <c r="I50" s="122"/>
      <c r="J50" s="122"/>
      <c r="K50" s="136"/>
      <c r="L50" s="140">
        <v>2353056</v>
      </c>
    </row>
    <row r="51" spans="1:12" x14ac:dyDescent="0.3">
      <c r="A51" s="155" t="s">
        <v>111</v>
      </c>
      <c r="B51" s="156"/>
      <c r="C51" s="122"/>
      <c r="D51" s="122"/>
      <c r="E51" s="122"/>
      <c r="F51" s="122"/>
      <c r="G51" s="122"/>
      <c r="H51" s="122"/>
      <c r="I51" s="122"/>
      <c r="J51" s="122"/>
      <c r="K51" s="136"/>
      <c r="L51" s="75">
        <v>2418665</v>
      </c>
    </row>
    <row r="52" spans="1:12" x14ac:dyDescent="0.3">
      <c r="A52" s="155" t="s">
        <v>112</v>
      </c>
      <c r="B52" s="156"/>
      <c r="C52" s="122"/>
      <c r="D52" s="122"/>
      <c r="E52" s="122"/>
      <c r="F52" s="122"/>
      <c r="G52" s="122"/>
      <c r="H52" s="122"/>
      <c r="I52" s="122"/>
      <c r="J52" s="122"/>
      <c r="K52" s="136"/>
      <c r="L52" s="75">
        <v>2564600</v>
      </c>
    </row>
    <row r="53" spans="1:12" x14ac:dyDescent="0.3">
      <c r="A53" s="155" t="s">
        <v>113</v>
      </c>
      <c r="B53" s="156"/>
      <c r="C53" s="122"/>
      <c r="D53" s="122"/>
      <c r="E53" s="122"/>
      <c r="F53" s="122"/>
      <c r="G53" s="122"/>
      <c r="H53" s="122"/>
      <c r="I53" s="122"/>
      <c r="J53" s="122"/>
      <c r="K53" s="136"/>
      <c r="L53" s="75">
        <v>2181000</v>
      </c>
    </row>
    <row r="54" spans="1:12" x14ac:dyDescent="0.3">
      <c r="A54" s="155" t="s">
        <v>114</v>
      </c>
      <c r="B54" s="156"/>
      <c r="C54" s="122"/>
      <c r="D54" s="122"/>
      <c r="E54" s="122"/>
      <c r="F54" s="122"/>
      <c r="G54" s="122"/>
      <c r="H54" s="122"/>
      <c r="I54" s="122"/>
      <c r="J54" s="122"/>
      <c r="K54" s="136"/>
      <c r="L54" s="75">
        <v>2400000</v>
      </c>
    </row>
    <row r="55" spans="1:12" x14ac:dyDescent="0.3">
      <c r="A55" s="155" t="s">
        <v>115</v>
      </c>
      <c r="B55" s="156"/>
      <c r="C55" s="122"/>
      <c r="D55" s="122"/>
      <c r="E55" s="122"/>
      <c r="F55" s="122"/>
      <c r="G55" s="122"/>
      <c r="H55" s="122"/>
      <c r="I55" s="122"/>
      <c r="J55" s="122"/>
      <c r="K55" s="136"/>
      <c r="L55" s="75">
        <v>2371000</v>
      </c>
    </row>
    <row r="56" spans="1:12" x14ac:dyDescent="0.3">
      <c r="A56" s="155" t="s">
        <v>116</v>
      </c>
      <c r="B56" s="156"/>
      <c r="C56" s="122"/>
      <c r="D56" s="122"/>
      <c r="E56" s="122"/>
      <c r="F56" s="122"/>
      <c r="G56" s="122"/>
      <c r="H56" s="122"/>
      <c r="I56" s="122"/>
      <c r="J56" s="122"/>
      <c r="K56" s="136"/>
      <c r="L56" s="75">
        <v>2427000</v>
      </c>
    </row>
    <row r="57" spans="1:12" x14ac:dyDescent="0.3">
      <c r="A57" s="155" t="s">
        <v>117</v>
      </c>
      <c r="B57" s="156"/>
      <c r="C57" s="122"/>
      <c r="D57" s="122"/>
      <c r="E57" s="122"/>
      <c r="F57" s="122"/>
      <c r="G57" s="122"/>
      <c r="H57" s="122"/>
      <c r="I57" s="122"/>
      <c r="J57" s="122"/>
      <c r="K57" s="136"/>
      <c r="L57" s="75">
        <v>2541000</v>
      </c>
    </row>
    <row r="58" spans="1:12" x14ac:dyDescent="0.3">
      <c r="A58" s="155" t="s">
        <v>118</v>
      </c>
      <c r="B58" s="156"/>
      <c r="C58" s="122"/>
      <c r="D58" s="122"/>
      <c r="E58" s="122"/>
      <c r="F58" s="122"/>
      <c r="G58" s="122"/>
      <c r="H58" s="122"/>
      <c r="I58" s="122"/>
      <c r="J58" s="122"/>
      <c r="K58" s="136"/>
      <c r="L58" s="75">
        <v>2577000</v>
      </c>
    </row>
    <row r="59" spans="1:12" x14ac:dyDescent="0.3">
      <c r="A59" s="155" t="s">
        <v>119</v>
      </c>
      <c r="B59" s="156"/>
      <c r="C59" s="122"/>
      <c r="D59" s="122"/>
      <c r="E59" s="122"/>
      <c r="F59" s="122"/>
      <c r="G59" s="122"/>
      <c r="H59" s="122"/>
      <c r="I59" s="122"/>
      <c r="J59" s="122"/>
      <c r="K59" s="136"/>
      <c r="L59" s="75">
        <v>2653000</v>
      </c>
    </row>
    <row r="60" spans="1:12" x14ac:dyDescent="0.3">
      <c r="A60" s="155" t="s">
        <v>120</v>
      </c>
      <c r="B60" s="156"/>
      <c r="C60" s="122"/>
      <c r="D60" s="122"/>
      <c r="E60" s="122"/>
      <c r="F60" s="122"/>
      <c r="G60" s="122"/>
      <c r="H60" s="122"/>
      <c r="I60" s="122"/>
      <c r="J60" s="122"/>
      <c r="K60" s="136"/>
      <c r="L60" s="75">
        <v>2736000</v>
      </c>
    </row>
    <row r="61" spans="1:12" x14ac:dyDescent="0.3">
      <c r="A61" s="155" t="s">
        <v>121</v>
      </c>
      <c r="B61" s="156"/>
      <c r="C61" s="122"/>
      <c r="D61" s="122"/>
      <c r="E61" s="122"/>
      <c r="F61" s="122"/>
      <c r="G61" s="122"/>
      <c r="H61" s="122"/>
      <c r="I61" s="122"/>
      <c r="J61" s="122"/>
      <c r="K61" s="136"/>
      <c r="L61" s="75">
        <v>2793000</v>
      </c>
    </row>
    <row r="62" spans="1:12" x14ac:dyDescent="0.3">
      <c r="A62" s="155" t="s">
        <v>122</v>
      </c>
      <c r="B62" s="156"/>
      <c r="C62" s="122"/>
      <c r="D62" s="122"/>
      <c r="E62" s="122"/>
      <c r="F62" s="122"/>
      <c r="G62" s="122"/>
      <c r="H62" s="122"/>
      <c r="I62" s="122"/>
      <c r="J62" s="122"/>
      <c r="K62" s="136"/>
      <c r="L62" s="75">
        <v>2820000</v>
      </c>
    </row>
    <row r="63" spans="1:12" x14ac:dyDescent="0.3">
      <c r="A63" s="155" t="s">
        <v>123</v>
      </c>
      <c r="B63" s="156"/>
      <c r="C63" s="122"/>
      <c r="D63" s="122"/>
      <c r="E63" s="122"/>
      <c r="F63" s="122"/>
      <c r="G63" s="122"/>
      <c r="H63" s="122"/>
      <c r="I63" s="122"/>
      <c r="J63" s="122"/>
      <c r="K63" s="136"/>
      <c r="L63" s="75">
        <v>2845000</v>
      </c>
    </row>
    <row r="64" spans="1:12" x14ac:dyDescent="0.3">
      <c r="A64" s="155" t="s">
        <v>124</v>
      </c>
      <c r="B64" s="156"/>
      <c r="C64" s="122"/>
      <c r="D64" s="122"/>
      <c r="E64" s="122"/>
      <c r="F64" s="122"/>
      <c r="G64" s="122"/>
      <c r="H64" s="122"/>
      <c r="I64" s="122"/>
      <c r="J64" s="122"/>
      <c r="K64" s="136"/>
      <c r="L64" s="75">
        <v>2857000</v>
      </c>
    </row>
    <row r="65" spans="1:12" x14ac:dyDescent="0.3">
      <c r="A65" s="155" t="s">
        <v>125</v>
      </c>
      <c r="B65" s="156"/>
      <c r="C65" s="122"/>
      <c r="D65" s="122"/>
      <c r="E65" s="122"/>
      <c r="F65" s="122"/>
      <c r="G65" s="122"/>
      <c r="H65" s="122"/>
      <c r="I65" s="122"/>
      <c r="J65" s="122"/>
      <c r="K65" s="136"/>
      <c r="L65" s="75">
        <v>3017000</v>
      </c>
    </row>
    <row r="66" spans="1:12" x14ac:dyDescent="0.3">
      <c r="A66" s="155" t="s">
        <v>126</v>
      </c>
      <c r="B66" s="156"/>
      <c r="C66" s="122"/>
      <c r="D66" s="122"/>
      <c r="E66" s="122"/>
      <c r="F66" s="122"/>
      <c r="G66" s="122"/>
      <c r="H66" s="122"/>
      <c r="I66" s="122"/>
      <c r="J66" s="122"/>
      <c r="K66" s="136"/>
      <c r="L66" s="75">
        <v>2945000</v>
      </c>
    </row>
    <row r="67" spans="1:12" x14ac:dyDescent="0.3">
      <c r="A67" s="155" t="s">
        <v>127</v>
      </c>
      <c r="B67" s="156"/>
      <c r="C67" s="122"/>
      <c r="D67" s="122"/>
      <c r="E67" s="122"/>
      <c r="F67" s="122"/>
      <c r="G67" s="122"/>
      <c r="H67" s="122"/>
      <c r="I67" s="122"/>
      <c r="J67" s="122"/>
      <c r="K67" s="136"/>
      <c r="L67" s="75">
        <v>3202000</v>
      </c>
    </row>
    <row r="68" spans="1:12" x14ac:dyDescent="0.3">
      <c r="A68" s="155" t="s">
        <v>128</v>
      </c>
      <c r="B68" s="156"/>
      <c r="C68" s="122"/>
      <c r="D68" s="122"/>
      <c r="E68" s="122"/>
      <c r="F68" s="122"/>
      <c r="G68" s="122"/>
      <c r="H68" s="122"/>
      <c r="I68" s="122"/>
      <c r="J68" s="122"/>
      <c r="K68" s="136"/>
      <c r="L68" s="75">
        <v>3040086</v>
      </c>
    </row>
    <row r="69" spans="1:12" x14ac:dyDescent="0.3">
      <c r="A69" s="155" t="s">
        <v>129</v>
      </c>
      <c r="B69" s="156"/>
      <c r="C69" s="122"/>
      <c r="D69" s="122"/>
      <c r="E69" s="122"/>
      <c r="F69" s="122"/>
      <c r="G69" s="122"/>
      <c r="H69" s="122"/>
      <c r="I69" s="122"/>
      <c r="J69" s="122"/>
      <c r="K69" s="136"/>
      <c r="L69" s="75">
        <v>3175834</v>
      </c>
    </row>
    <row r="70" spans="1:12" ht="17.25" thickBot="1" x14ac:dyDescent="0.35">
      <c r="A70" s="157" t="s">
        <v>130</v>
      </c>
      <c r="B70" s="158"/>
      <c r="C70" s="134"/>
      <c r="D70" s="134"/>
      <c r="E70" s="134"/>
      <c r="F70" s="134"/>
      <c r="G70" s="134"/>
      <c r="H70" s="134"/>
      <c r="I70" s="134"/>
      <c r="J70" s="134"/>
      <c r="K70" s="139"/>
      <c r="L70" s="141">
        <v>3112718</v>
      </c>
    </row>
    <row r="71" spans="1:12" ht="17.25" thickTop="1" x14ac:dyDescent="0.3">
      <c r="A71" s="148" t="s">
        <v>88</v>
      </c>
      <c r="B71" s="147"/>
      <c r="C71" s="133">
        <v>821935</v>
      </c>
      <c r="D71" s="133">
        <v>16210</v>
      </c>
      <c r="E71" s="133">
        <v>1114696</v>
      </c>
      <c r="F71" s="133">
        <v>402431</v>
      </c>
      <c r="G71" s="133">
        <v>141380</v>
      </c>
      <c r="H71" s="133">
        <v>3027</v>
      </c>
      <c r="I71" s="133">
        <v>629298</v>
      </c>
      <c r="J71" s="133">
        <v>16334</v>
      </c>
      <c r="K71" s="142"/>
      <c r="L71" s="81">
        <f>SUM(C71:K71)</f>
        <v>3145311</v>
      </c>
    </row>
    <row r="72" spans="1:12" x14ac:dyDescent="0.3">
      <c r="A72" s="215" t="s">
        <v>89</v>
      </c>
      <c r="B72" s="216"/>
      <c r="C72" s="217">
        <v>859666</v>
      </c>
      <c r="D72" s="217">
        <v>17845</v>
      </c>
      <c r="E72" s="217">
        <v>1086256</v>
      </c>
      <c r="F72" s="217">
        <v>427996</v>
      </c>
      <c r="G72" s="217">
        <v>143889</v>
      </c>
      <c r="H72" s="217">
        <v>3566</v>
      </c>
      <c r="I72" s="217">
        <v>630287</v>
      </c>
      <c r="J72" s="217">
        <v>18782</v>
      </c>
      <c r="K72" s="218"/>
      <c r="L72" s="219">
        <f>SUM(C72:K72)</f>
        <v>3188287</v>
      </c>
    </row>
    <row r="73" spans="1:12" x14ac:dyDescent="0.3">
      <c r="A73" s="220" t="s">
        <v>157</v>
      </c>
      <c r="B73" s="221"/>
      <c r="C73" s="222">
        <v>884754</v>
      </c>
      <c r="D73" s="222">
        <v>17169</v>
      </c>
      <c r="E73" s="222">
        <v>1139270</v>
      </c>
      <c r="F73" s="222">
        <v>408574</v>
      </c>
      <c r="G73" s="222">
        <v>121959</v>
      </c>
      <c r="H73" s="222">
        <v>3196</v>
      </c>
      <c r="I73" s="222">
        <v>653359</v>
      </c>
      <c r="J73" s="222">
        <v>18675</v>
      </c>
      <c r="K73" s="223"/>
      <c r="L73" s="219">
        <f>SUM(C73:K73)</f>
        <v>3246956</v>
      </c>
    </row>
    <row r="74" spans="1:12" s="266" customFormat="1" x14ac:dyDescent="0.3">
      <c r="A74" s="267" t="s">
        <v>163</v>
      </c>
      <c r="B74" s="268"/>
      <c r="C74" s="269">
        <v>953185</v>
      </c>
      <c r="D74" s="269">
        <v>19464</v>
      </c>
      <c r="E74" s="269">
        <v>1131181</v>
      </c>
      <c r="F74" s="269">
        <v>396131</v>
      </c>
      <c r="G74" s="269">
        <v>108941</v>
      </c>
      <c r="H74" s="269">
        <v>5445</v>
      </c>
      <c r="I74" s="269">
        <v>669835</v>
      </c>
      <c r="J74" s="269">
        <v>7192</v>
      </c>
      <c r="K74" s="270"/>
      <c r="L74" s="271">
        <f>SUM(C74:K74)</f>
        <v>3291374</v>
      </c>
    </row>
    <row r="75" spans="1:12" s="266" customFormat="1" ht="17.25" thickBot="1" x14ac:dyDescent="0.35">
      <c r="A75" s="302" t="s">
        <v>169</v>
      </c>
      <c r="B75" s="301"/>
      <c r="C75" s="264">
        <v>261767</v>
      </c>
      <c r="D75" s="264">
        <v>5118</v>
      </c>
      <c r="E75" s="264">
        <v>292571</v>
      </c>
      <c r="F75" s="264">
        <v>99699</v>
      </c>
      <c r="G75" s="264">
        <v>27856</v>
      </c>
      <c r="H75" s="264">
        <v>6804</v>
      </c>
      <c r="I75" s="264">
        <v>171335</v>
      </c>
      <c r="J75" s="264">
        <v>978</v>
      </c>
      <c r="K75" s="265"/>
      <c r="L75" s="272">
        <f>SUM(C75:K75)</f>
        <v>866128</v>
      </c>
    </row>
    <row r="76" spans="1:12" x14ac:dyDescent="0.3">
      <c r="A76" s="238"/>
      <c r="B76" s="238"/>
      <c r="C76" s="249" t="s">
        <v>69</v>
      </c>
      <c r="D76" s="243"/>
      <c r="E76" s="243"/>
      <c r="F76" s="243"/>
      <c r="G76" s="243"/>
      <c r="H76" s="243"/>
      <c r="I76" s="243"/>
      <c r="J76" s="243"/>
      <c r="K76" s="243"/>
      <c r="L76" s="240"/>
    </row>
    <row r="77" spans="1:12" x14ac:dyDescent="0.3">
      <c r="A77" s="238"/>
      <c r="B77" s="238"/>
      <c r="C77" s="240" t="s">
        <v>146</v>
      </c>
      <c r="D77" s="243"/>
      <c r="E77" s="243"/>
      <c r="F77" s="243"/>
      <c r="G77" s="243"/>
      <c r="H77" s="243"/>
      <c r="I77" s="243"/>
      <c r="J77" s="243"/>
      <c r="K77" s="243"/>
      <c r="L77" s="240"/>
    </row>
    <row r="78" spans="1:12" x14ac:dyDescent="0.3">
      <c r="A78" s="238"/>
      <c r="B78" s="238"/>
      <c r="C78" s="240" t="s">
        <v>149</v>
      </c>
      <c r="D78" s="243"/>
      <c r="E78" s="243"/>
      <c r="F78" s="243"/>
      <c r="G78" s="243"/>
      <c r="H78" s="243"/>
      <c r="I78" s="243"/>
      <c r="J78" s="243"/>
      <c r="K78" s="243"/>
      <c r="L78" s="240"/>
    </row>
    <row r="79" spans="1:12" x14ac:dyDescent="0.3">
      <c r="A79" s="238"/>
      <c r="B79" s="238"/>
      <c r="C79" s="240" t="s">
        <v>151</v>
      </c>
      <c r="D79" s="243"/>
      <c r="E79" s="243"/>
      <c r="F79" s="243"/>
      <c r="G79" s="243"/>
      <c r="H79" s="243"/>
      <c r="I79" s="243"/>
      <c r="J79" s="243"/>
      <c r="K79" s="243"/>
      <c r="L79" s="240"/>
    </row>
    <row r="80" spans="1:12" x14ac:dyDescent="0.3">
      <c r="A80" s="238"/>
      <c r="B80" s="238"/>
      <c r="C80" s="240"/>
      <c r="D80" s="243"/>
      <c r="E80" s="243"/>
      <c r="F80" s="243"/>
      <c r="G80" s="243"/>
      <c r="H80" s="243"/>
      <c r="I80" s="243"/>
      <c r="J80" s="243"/>
      <c r="K80" s="243"/>
      <c r="L80" s="240"/>
    </row>
    <row r="81" spans="1:12" x14ac:dyDescent="0.3">
      <c r="A81" s="238"/>
      <c r="B81" s="238"/>
      <c r="C81" s="249" t="s">
        <v>74</v>
      </c>
      <c r="D81" s="243"/>
      <c r="E81" s="243"/>
      <c r="F81" s="243"/>
      <c r="G81" s="243"/>
      <c r="H81" s="243"/>
      <c r="I81" s="243"/>
      <c r="J81" s="243"/>
      <c r="K81" s="243"/>
      <c r="L81" s="240"/>
    </row>
    <row r="82" spans="1:12" x14ac:dyDescent="0.3">
      <c r="A82" s="238"/>
      <c r="B82" s="238"/>
      <c r="C82" s="250" t="s">
        <v>155</v>
      </c>
      <c r="D82" s="243"/>
      <c r="E82" s="243"/>
      <c r="F82" s="243"/>
      <c r="G82" s="243"/>
      <c r="H82" s="243"/>
      <c r="I82" s="243"/>
      <c r="J82" s="243"/>
      <c r="K82" s="243"/>
      <c r="L82" s="240"/>
    </row>
    <row r="83" spans="1:12" x14ac:dyDescent="0.3">
      <c r="A83" s="238"/>
      <c r="B83" s="238"/>
      <c r="C83" s="250" t="s">
        <v>152</v>
      </c>
      <c r="D83" s="243"/>
      <c r="E83" s="243"/>
      <c r="F83" s="243"/>
      <c r="G83" s="243"/>
      <c r="H83" s="243"/>
      <c r="I83" s="243"/>
      <c r="J83" s="243"/>
      <c r="K83" s="243"/>
      <c r="L83" s="240"/>
    </row>
    <row r="84" spans="1:12" x14ac:dyDescent="0.3">
      <c r="A84" s="240"/>
      <c r="B84" s="240"/>
      <c r="C84" s="253"/>
      <c r="D84" s="243"/>
      <c r="E84" s="243"/>
      <c r="F84" s="243"/>
      <c r="G84" s="243"/>
      <c r="H84" s="243"/>
      <c r="I84" s="243"/>
      <c r="J84" s="243"/>
      <c r="K84" s="243"/>
      <c r="L84" s="240"/>
    </row>
    <row r="85" spans="1:12" s="238" customFormat="1" x14ac:dyDescent="0.3">
      <c r="A85" s="240"/>
      <c r="B85" s="240"/>
      <c r="C85" s="243"/>
      <c r="D85" s="243"/>
      <c r="E85" s="243"/>
      <c r="F85" s="243"/>
      <c r="G85" s="243"/>
      <c r="H85" s="243"/>
      <c r="I85" s="243"/>
      <c r="J85" s="243"/>
      <c r="K85" s="243"/>
      <c r="L85" s="240"/>
    </row>
    <row r="86" spans="1:12" x14ac:dyDescent="0.3">
      <c r="A86" s="252" t="s">
        <v>167</v>
      </c>
      <c r="C86" s="299" t="s">
        <v>171</v>
      </c>
    </row>
  </sheetData>
  <mergeCells count="3">
    <mergeCell ref="A1:L1"/>
    <mergeCell ref="A3:L3"/>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3</vt:i4>
      </vt:variant>
      <vt:variant>
        <vt:lpstr>Named Ranges</vt:lpstr>
      </vt:variant>
      <vt:variant>
        <vt:i4>1</vt:i4>
      </vt:variant>
    </vt:vector>
  </HeadingPairs>
  <TitlesOfParts>
    <vt:vector size="11" baseType="lpstr">
      <vt:lpstr>Bread Baked from 1948</vt:lpstr>
      <vt:lpstr>Confectionery</vt:lpstr>
      <vt:lpstr>F Biscuits</vt:lpstr>
      <vt:lpstr>Pasta</vt:lpstr>
      <vt:lpstr>Other</vt:lpstr>
      <vt:lpstr>Private</vt:lpstr>
      <vt:lpstr>Total Flour</vt:lpstr>
      <vt:lpstr>Bread Consump Chart</vt:lpstr>
      <vt:lpstr>Bread Manufactured Chart</vt:lpstr>
      <vt:lpstr>Products Chart</vt:lpstr>
      <vt:lpstr>'Bread Baked from 1948'!Print_Area</vt:lpstr>
    </vt:vector>
  </TitlesOfParts>
  <Company>Sagis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Sanet Naude</dc:creator>
  <cp:lastModifiedBy>Lynette Steyn</cp:lastModifiedBy>
  <cp:lastPrinted>2019-10-10T06:44:11Z</cp:lastPrinted>
  <dcterms:created xsi:type="dcterms:W3CDTF">2016-09-01T07:17:32Z</dcterms:created>
  <dcterms:modified xsi:type="dcterms:W3CDTF">2020-02-13T12:05:47Z</dcterms:modified>
</cp:coreProperties>
</file>