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60" windowWidth="18195" windowHeight="7995"/>
  </bookViews>
  <sheets>
    <sheet name="CTC" sheetId="1" r:id="rId1"/>
    <sheet name="COMMODITY LIST"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xlnm._FilterDatabase" localSheetId="0" hidden="1">CTC!$A$7:$AM$376</definedName>
  </definedNames>
  <calcPr calcId="145621"/>
</workbook>
</file>

<file path=xl/calcChain.xml><?xml version="1.0" encoding="utf-8"?>
<calcChain xmlns="http://schemas.openxmlformats.org/spreadsheetml/2006/main">
  <c r="V367" i="1" l="1"/>
  <c r="V346" i="1"/>
  <c r="V326" i="1"/>
  <c r="V310" i="1"/>
  <c r="V309" i="1"/>
  <c r="V308" i="1"/>
  <c r="V307" i="1"/>
  <c r="V296" i="1"/>
  <c r="V295" i="1"/>
  <c r="V294" i="1"/>
  <c r="V293" i="1"/>
  <c r="V287" i="1"/>
  <c r="V286" i="1"/>
  <c r="V282" i="1"/>
  <c r="V281" i="1"/>
  <c r="V280" i="1"/>
  <c r="V269" i="1"/>
  <c r="V268" i="1"/>
  <c r="V267" i="1"/>
  <c r="V266" i="1"/>
  <c r="V265" i="1"/>
  <c r="V264" i="1"/>
  <c r="V263" i="1"/>
  <c r="V262" i="1"/>
  <c r="V261" i="1"/>
  <c r="V260" i="1"/>
  <c r="V259" i="1"/>
  <c r="V258" i="1"/>
  <c r="V257" i="1"/>
  <c r="V256" i="1"/>
  <c r="V255" i="1"/>
  <c r="V254" i="1"/>
  <c r="V253" i="1"/>
  <c r="V252" i="1"/>
  <c r="V251" i="1"/>
  <c r="V250" i="1"/>
  <c r="V249" i="1"/>
  <c r="V248" i="1"/>
  <c r="V247" i="1"/>
  <c r="V246" i="1"/>
  <c r="V245" i="1"/>
  <c r="V244" i="1"/>
  <c r="V242" i="1"/>
  <c r="V241" i="1"/>
  <c r="V240" i="1"/>
  <c r="V239" i="1"/>
  <c r="V237" i="1"/>
  <c r="V236" i="1"/>
  <c r="V232" i="1"/>
  <c r="V231" i="1"/>
  <c r="V230" i="1"/>
  <c r="V229" i="1"/>
  <c r="V228" i="1"/>
  <c r="V227" i="1"/>
  <c r="V226" i="1"/>
  <c r="V225" i="1"/>
  <c r="V224" i="1"/>
  <c r="V223" i="1"/>
  <c r="V222" i="1"/>
  <c r="V221" i="1"/>
  <c r="V220" i="1"/>
  <c r="V219" i="1"/>
  <c r="V218" i="1"/>
  <c r="V217" i="1"/>
  <c r="V209" i="1"/>
  <c r="V202" i="1"/>
  <c r="V188" i="1"/>
  <c r="V187" i="1"/>
  <c r="V182" i="1"/>
  <c r="V181" i="1"/>
  <c r="V176" i="1"/>
  <c r="V175" i="1"/>
  <c r="V170" i="1"/>
  <c r="V169" i="1"/>
  <c r="V168" i="1"/>
  <c r="V167" i="1"/>
  <c r="V166" i="1"/>
  <c r="V165" i="1"/>
  <c r="V164" i="1"/>
  <c r="V163" i="1"/>
  <c r="V162" i="1"/>
  <c r="V161" i="1"/>
  <c r="V160" i="1"/>
  <c r="V159" i="1"/>
  <c r="V158" i="1"/>
  <c r="V157" i="1"/>
  <c r="V156" i="1"/>
  <c r="V155" i="1"/>
  <c r="V154" i="1"/>
  <c r="V153" i="1"/>
  <c r="V152" i="1"/>
  <c r="V151" i="1"/>
  <c r="V150" i="1"/>
  <c r="V149" i="1"/>
  <c r="V148" i="1"/>
  <c r="V145" i="1"/>
  <c r="V144" i="1"/>
  <c r="V141" i="1"/>
  <c r="V140" i="1"/>
  <c r="V139" i="1"/>
  <c r="V138" i="1"/>
  <c r="V128" i="1"/>
  <c r="V127" i="1"/>
  <c r="V119" i="1"/>
  <c r="V118" i="1"/>
  <c r="V117" i="1"/>
  <c r="V116" i="1"/>
  <c r="V115" i="1"/>
  <c r="V114" i="1"/>
  <c r="V113" i="1"/>
  <c r="V112" i="1"/>
  <c r="V111" i="1"/>
  <c r="V110" i="1"/>
  <c r="V109" i="1"/>
  <c r="V108" i="1"/>
  <c r="V107" i="1"/>
  <c r="V106" i="1"/>
  <c r="V105" i="1"/>
  <c r="V104" i="1"/>
  <c r="V103" i="1"/>
  <c r="V102" i="1"/>
  <c r="V101" i="1"/>
  <c r="V100" i="1"/>
  <c r="V99" i="1"/>
  <c r="V98" i="1"/>
  <c r="V97" i="1"/>
  <c r="V96" i="1"/>
  <c r="V95" i="1"/>
  <c r="V94" i="1"/>
  <c r="V93" i="1"/>
  <c r="V92" i="1"/>
  <c r="V91" i="1"/>
  <c r="V90" i="1"/>
  <c r="V89" i="1"/>
  <c r="V88" i="1"/>
  <c r="V87" i="1"/>
  <c r="V86" i="1"/>
  <c r="V85" i="1"/>
  <c r="V84" i="1"/>
  <c r="V83" i="1"/>
  <c r="V82" i="1"/>
  <c r="V81" i="1"/>
  <c r="V80" i="1"/>
  <c r="V79" i="1"/>
  <c r="V78" i="1"/>
  <c r="V77" i="1"/>
  <c r="V76" i="1"/>
  <c r="V75" i="1"/>
  <c r="V74" i="1"/>
  <c r="V73" i="1"/>
  <c r="V72" i="1"/>
  <c r="V71" i="1"/>
  <c r="V70" i="1"/>
  <c r="V69" i="1"/>
  <c r="V68" i="1"/>
  <c r="V67" i="1"/>
  <c r="V66" i="1"/>
  <c r="V65" i="1"/>
  <c r="V64" i="1"/>
  <c r="V63" i="1"/>
  <c r="V62" i="1"/>
  <c r="V61" i="1"/>
  <c r="V60" i="1"/>
  <c r="V59" i="1"/>
  <c r="V49" i="1"/>
  <c r="V48" i="1"/>
  <c r="V46" i="1"/>
  <c r="V45" i="1"/>
  <c r="V32" i="1"/>
  <c r="V31" i="1"/>
  <c r="V25" i="1"/>
  <c r="V24" i="1"/>
  <c r="V23" i="1"/>
  <c r="V22" i="1"/>
  <c r="V21" i="1"/>
  <c r="V20" i="1"/>
  <c r="V19" i="1"/>
  <c r="V18" i="1"/>
  <c r="V17" i="1"/>
  <c r="V16" i="1"/>
  <c r="V15" i="1"/>
  <c r="AH11" i="1" l="1"/>
  <c r="AJ11" i="1"/>
  <c r="AM11" i="1"/>
  <c r="AG12" i="1"/>
  <c r="AI12" i="1"/>
  <c r="AL12" i="1"/>
  <c r="AG13" i="1"/>
  <c r="AI13" i="1"/>
  <c r="AL13" i="1"/>
  <c r="AG14" i="1"/>
  <c r="AI14" i="1"/>
  <c r="AL14" i="1"/>
  <c r="AH15" i="1"/>
  <c r="AJ15" i="1"/>
  <c r="AM15" i="1"/>
  <c r="AH16" i="1"/>
  <c r="AJ16" i="1"/>
  <c r="AM16" i="1"/>
  <c r="AG17" i="1"/>
  <c r="AI17" i="1"/>
  <c r="AL17" i="1"/>
  <c r="AG18" i="1"/>
  <c r="AI18" i="1"/>
  <c r="AL18" i="1"/>
  <c r="AH19" i="1"/>
  <c r="AJ19" i="1"/>
  <c r="AM19" i="1"/>
  <c r="AH20" i="1"/>
  <c r="AJ20" i="1"/>
  <c r="AM20" i="1"/>
  <c r="AH21" i="1"/>
  <c r="AJ21" i="1"/>
  <c r="AM21" i="1"/>
  <c r="AH22" i="1"/>
  <c r="AJ22" i="1"/>
  <c r="AM22" i="1"/>
  <c r="AH23" i="1"/>
  <c r="AJ23" i="1"/>
  <c r="AM23" i="1"/>
  <c r="AH24" i="1"/>
  <c r="AJ24" i="1"/>
  <c r="AM24" i="1"/>
  <c r="AH25" i="1"/>
  <c r="AJ25" i="1"/>
  <c r="AM25" i="1"/>
  <c r="AG26" i="1"/>
  <c r="AI26" i="1"/>
  <c r="AL26" i="1"/>
  <c r="AH27" i="1"/>
  <c r="AJ27" i="1"/>
  <c r="AM27" i="1"/>
  <c r="AH28" i="1"/>
  <c r="AJ28" i="1"/>
  <c r="AM28" i="1"/>
  <c r="AH29" i="1"/>
  <c r="AJ29" i="1"/>
  <c r="AM29" i="1"/>
  <c r="AH30" i="1"/>
  <c r="AJ30" i="1"/>
  <c r="AM30" i="1"/>
  <c r="AH31" i="1"/>
  <c r="AJ31" i="1"/>
  <c r="AM31" i="1"/>
  <c r="AH32" i="1"/>
  <c r="AJ32" i="1"/>
  <c r="AM32" i="1"/>
  <c r="AG33" i="1"/>
  <c r="AI33" i="1"/>
  <c r="AL33" i="1"/>
  <c r="AG34" i="1"/>
  <c r="AI34" i="1"/>
  <c r="AL34" i="1"/>
  <c r="AG35" i="1"/>
  <c r="AI35" i="1"/>
  <c r="AL35" i="1"/>
  <c r="AG36" i="1"/>
  <c r="AI36" i="1"/>
  <c r="AL36" i="1"/>
  <c r="AG37" i="1"/>
  <c r="AI37" i="1"/>
  <c r="AL37" i="1"/>
  <c r="AG38" i="1"/>
  <c r="AI38" i="1"/>
  <c r="AL38" i="1"/>
  <c r="AG39" i="1"/>
  <c r="AI39" i="1"/>
  <c r="AL39" i="1"/>
  <c r="AG40" i="1"/>
  <c r="AI40" i="1"/>
  <c r="AL40" i="1"/>
  <c r="AG41" i="1"/>
  <c r="AI41" i="1"/>
  <c r="AL41" i="1"/>
  <c r="AG42" i="1"/>
  <c r="AI42" i="1"/>
  <c r="AL42" i="1"/>
  <c r="AG43" i="1"/>
  <c r="AI43" i="1"/>
  <c r="AL43" i="1"/>
  <c r="AH44" i="1"/>
  <c r="AJ44" i="1"/>
  <c r="AM44" i="1"/>
  <c r="AH45" i="1"/>
  <c r="AJ45" i="1"/>
  <c r="AM45" i="1"/>
  <c r="AH46" i="1"/>
  <c r="AJ46" i="1"/>
  <c r="AM46" i="1"/>
  <c r="AG47" i="1"/>
  <c r="AI47" i="1"/>
  <c r="AL47" i="1"/>
  <c r="AH48" i="1"/>
  <c r="AJ48" i="1"/>
  <c r="AM48" i="1"/>
  <c r="AH49" i="1"/>
  <c r="AJ49" i="1"/>
  <c r="AM49" i="1"/>
  <c r="AH50" i="1"/>
  <c r="AJ50" i="1"/>
  <c r="AM50" i="1"/>
  <c r="AH51" i="1"/>
  <c r="AJ51" i="1"/>
  <c r="AM51" i="1"/>
  <c r="AH52" i="1"/>
  <c r="AJ52" i="1"/>
  <c r="AM52" i="1"/>
  <c r="AG53" i="1"/>
  <c r="AI53" i="1"/>
  <c r="AL53" i="1"/>
  <c r="AH54" i="1"/>
  <c r="AJ54" i="1"/>
  <c r="AM54" i="1"/>
  <c r="AH55" i="1"/>
  <c r="AJ55" i="1"/>
  <c r="AM55" i="1"/>
  <c r="AH56" i="1"/>
  <c r="AJ56" i="1"/>
  <c r="AM56" i="1"/>
  <c r="AH57" i="1"/>
  <c r="AJ57" i="1"/>
  <c r="AM57" i="1"/>
  <c r="AH58" i="1"/>
  <c r="AJ58" i="1"/>
  <c r="AM58" i="1"/>
  <c r="AH59" i="1"/>
  <c r="AJ59" i="1"/>
  <c r="AM59" i="1"/>
  <c r="AH60" i="1"/>
  <c r="AJ60" i="1"/>
  <c r="AM60" i="1"/>
  <c r="AH61" i="1"/>
  <c r="AJ61" i="1"/>
  <c r="AM61" i="1"/>
  <c r="AH62" i="1"/>
  <c r="AJ62" i="1"/>
  <c r="AM62" i="1"/>
  <c r="AH63" i="1"/>
  <c r="AJ63" i="1"/>
  <c r="AM63" i="1"/>
  <c r="AH64" i="1"/>
  <c r="AJ64" i="1"/>
  <c r="AM64" i="1"/>
  <c r="AG65" i="1"/>
  <c r="AI65" i="1"/>
  <c r="AL65" i="1"/>
  <c r="AH66" i="1"/>
  <c r="AJ66" i="1"/>
  <c r="AM66" i="1"/>
  <c r="AH67" i="1"/>
  <c r="AJ67" i="1"/>
  <c r="AM67" i="1"/>
  <c r="AG68" i="1"/>
  <c r="AI68" i="1"/>
  <c r="AL68" i="1"/>
  <c r="AG69" i="1"/>
  <c r="AI69" i="1"/>
  <c r="AL69" i="1"/>
  <c r="AH70" i="1"/>
  <c r="AJ70" i="1"/>
  <c r="AM70" i="1"/>
  <c r="AH71" i="1"/>
  <c r="AJ71" i="1"/>
  <c r="AM71" i="1"/>
  <c r="AH72" i="1"/>
  <c r="AJ72" i="1"/>
  <c r="AM72" i="1"/>
  <c r="AH73" i="1"/>
  <c r="AJ73" i="1"/>
  <c r="AM73" i="1"/>
  <c r="AH74" i="1"/>
  <c r="AJ74" i="1"/>
  <c r="AM74" i="1"/>
  <c r="AH75" i="1"/>
  <c r="AJ75" i="1"/>
  <c r="AM75" i="1"/>
  <c r="AG76" i="1"/>
  <c r="AI76" i="1"/>
  <c r="AL76" i="1"/>
  <c r="AG77" i="1"/>
  <c r="AI77" i="1"/>
  <c r="AL77" i="1"/>
  <c r="AG78" i="1"/>
  <c r="AI78" i="1"/>
  <c r="AL78" i="1"/>
  <c r="AH79" i="1"/>
  <c r="AJ79" i="1"/>
  <c r="AM79" i="1"/>
  <c r="AH80" i="1"/>
  <c r="AJ80" i="1"/>
  <c r="AM80" i="1"/>
  <c r="AH81" i="1"/>
  <c r="AJ81" i="1"/>
  <c r="AM81" i="1"/>
  <c r="AG82" i="1"/>
  <c r="AI82" i="1"/>
  <c r="AL82" i="1"/>
  <c r="AH83" i="1"/>
  <c r="AJ83" i="1"/>
  <c r="AM83" i="1"/>
  <c r="AH84" i="1"/>
  <c r="AJ84" i="1"/>
  <c r="AM84" i="1"/>
  <c r="AH85" i="1"/>
  <c r="AJ85" i="1"/>
  <c r="AM85" i="1"/>
  <c r="AH86" i="1"/>
  <c r="AJ86" i="1"/>
  <c r="AM86" i="1"/>
  <c r="AH87" i="1"/>
  <c r="AJ87" i="1"/>
  <c r="AM87" i="1"/>
  <c r="AH88" i="1"/>
  <c r="AJ88" i="1"/>
  <c r="AM88" i="1"/>
  <c r="AH89" i="1"/>
  <c r="AJ89" i="1"/>
  <c r="AM89" i="1"/>
  <c r="AH90" i="1"/>
  <c r="AJ90" i="1"/>
  <c r="AM90" i="1"/>
  <c r="AH91" i="1"/>
  <c r="AJ91" i="1"/>
  <c r="AM91" i="1"/>
  <c r="AH92" i="1"/>
  <c r="AJ92" i="1"/>
  <c r="AM92" i="1"/>
  <c r="AG93" i="1"/>
  <c r="AI93" i="1"/>
  <c r="AL93" i="1"/>
  <c r="AH94" i="1"/>
  <c r="AJ94" i="1"/>
  <c r="AM94" i="1"/>
  <c r="AH95" i="1"/>
  <c r="AJ95" i="1"/>
  <c r="AM95" i="1"/>
  <c r="AH96" i="1"/>
  <c r="AJ96" i="1"/>
  <c r="AM96" i="1"/>
  <c r="AH97" i="1"/>
  <c r="AJ97" i="1"/>
  <c r="AM97" i="1"/>
  <c r="AH98" i="1"/>
  <c r="AJ98" i="1"/>
  <c r="AM98" i="1"/>
  <c r="AH99" i="1"/>
  <c r="AJ99" i="1"/>
  <c r="AM99" i="1"/>
  <c r="AH100" i="1"/>
  <c r="AJ100" i="1"/>
  <c r="AM100" i="1"/>
  <c r="AG101" i="1"/>
  <c r="AI101" i="1"/>
  <c r="AL101" i="1"/>
  <c r="AH102" i="1"/>
  <c r="AJ102" i="1"/>
  <c r="AM102" i="1"/>
  <c r="AH103" i="1"/>
  <c r="AJ103" i="1"/>
  <c r="AM103" i="1"/>
  <c r="AH104" i="1"/>
  <c r="AJ104" i="1"/>
  <c r="AM104" i="1"/>
  <c r="AH105" i="1"/>
  <c r="AJ105" i="1"/>
  <c r="AM105" i="1"/>
  <c r="AH106" i="1"/>
  <c r="AJ106" i="1"/>
  <c r="AM106" i="1"/>
  <c r="AH107" i="1"/>
  <c r="AJ107" i="1"/>
  <c r="AM107" i="1"/>
  <c r="AH108" i="1"/>
  <c r="AJ108" i="1"/>
  <c r="AM108" i="1"/>
  <c r="AH109" i="1"/>
  <c r="AJ109" i="1"/>
  <c r="AM109" i="1"/>
  <c r="AH110" i="1"/>
  <c r="AJ110" i="1"/>
  <c r="AM110" i="1"/>
  <c r="AH111" i="1"/>
  <c r="AJ111" i="1"/>
  <c r="AM111" i="1"/>
  <c r="AG112" i="1"/>
  <c r="AI112" i="1"/>
  <c r="AL112" i="1"/>
  <c r="AH113" i="1"/>
  <c r="AJ113" i="1"/>
  <c r="AM113" i="1"/>
  <c r="AH114" i="1"/>
  <c r="AJ114" i="1"/>
  <c r="AM114" i="1"/>
  <c r="AH115" i="1"/>
  <c r="AJ115" i="1"/>
  <c r="AM115" i="1"/>
  <c r="AH116" i="1"/>
  <c r="AJ116" i="1"/>
  <c r="AM116" i="1"/>
  <c r="AG117" i="1"/>
  <c r="AI117" i="1"/>
  <c r="AL117" i="1"/>
  <c r="AG118" i="1"/>
  <c r="AI118" i="1"/>
  <c r="AL118" i="1"/>
  <c r="AG119" i="1"/>
  <c r="AI119" i="1"/>
  <c r="AL119" i="1"/>
  <c r="AH120" i="1"/>
  <c r="AJ120" i="1"/>
  <c r="AM120" i="1"/>
  <c r="AH121" i="1"/>
  <c r="AJ121" i="1"/>
  <c r="AM121" i="1"/>
  <c r="AH122" i="1"/>
  <c r="AJ122" i="1"/>
  <c r="AM122" i="1"/>
  <c r="AH123" i="1"/>
  <c r="AJ123" i="1"/>
  <c r="AM123" i="1"/>
  <c r="AH124" i="1"/>
  <c r="AJ124" i="1"/>
  <c r="AM124" i="1"/>
  <c r="AH125" i="1"/>
  <c r="AJ125" i="1"/>
  <c r="AM125" i="1"/>
  <c r="AH126" i="1"/>
  <c r="AJ126" i="1"/>
  <c r="AM126" i="1"/>
  <c r="AG127" i="1"/>
  <c r="AI127" i="1"/>
  <c r="AL127" i="1"/>
  <c r="AH128" i="1"/>
  <c r="AJ128" i="1"/>
  <c r="AM128" i="1"/>
  <c r="AG129" i="1"/>
  <c r="AI129" i="1"/>
  <c r="AL129" i="1"/>
  <c r="AG130" i="1"/>
  <c r="AI130" i="1"/>
  <c r="AL130" i="1"/>
  <c r="AG131" i="1"/>
  <c r="AI131" i="1"/>
  <c r="AL131" i="1"/>
  <c r="AH132" i="1"/>
  <c r="AJ132" i="1"/>
  <c r="AM132" i="1"/>
  <c r="AH133" i="1"/>
  <c r="AJ133" i="1"/>
  <c r="AM133" i="1"/>
  <c r="AG134" i="1"/>
  <c r="AI134" i="1"/>
  <c r="AL134" i="1"/>
  <c r="AG135" i="1"/>
  <c r="AI135" i="1"/>
  <c r="AL135" i="1"/>
  <c r="AG136" i="1"/>
  <c r="AI136" i="1"/>
  <c r="AL136" i="1"/>
  <c r="AG137" i="1"/>
  <c r="AI137" i="1"/>
  <c r="AL137" i="1"/>
  <c r="AH138" i="1"/>
  <c r="AJ138" i="1"/>
  <c r="AM138" i="1"/>
  <c r="AH139" i="1"/>
  <c r="AJ139" i="1"/>
  <c r="AM139" i="1"/>
  <c r="AH140" i="1"/>
  <c r="AJ140" i="1"/>
  <c r="AM140" i="1"/>
  <c r="AH141" i="1"/>
  <c r="AJ141" i="1"/>
  <c r="AM141" i="1"/>
  <c r="AH143" i="1"/>
  <c r="AJ143" i="1"/>
  <c r="AM143" i="1"/>
  <c r="AH144" i="1"/>
  <c r="AJ144" i="1"/>
  <c r="AM144" i="1"/>
  <c r="AH145" i="1"/>
  <c r="AJ145" i="1"/>
  <c r="AM145" i="1"/>
  <c r="AG146" i="1"/>
  <c r="AI146" i="1"/>
  <c r="AL146" i="1"/>
  <c r="AG147" i="1"/>
  <c r="AI147" i="1"/>
  <c r="AL147" i="1"/>
  <c r="AH148" i="1"/>
  <c r="AJ148" i="1"/>
  <c r="AM148" i="1"/>
  <c r="AH149" i="1"/>
  <c r="AJ149" i="1"/>
  <c r="AM149" i="1"/>
  <c r="AH150" i="1"/>
  <c r="AJ150" i="1"/>
  <c r="AM150" i="1"/>
  <c r="AH151" i="1"/>
  <c r="AJ151" i="1"/>
  <c r="AM151" i="1"/>
  <c r="AH152" i="1"/>
  <c r="AJ152" i="1"/>
  <c r="AM152" i="1"/>
  <c r="AH153" i="1"/>
  <c r="AJ153" i="1"/>
  <c r="AM153" i="1"/>
  <c r="AH154" i="1"/>
  <c r="AJ154" i="1"/>
  <c r="AM154" i="1"/>
  <c r="AH155" i="1"/>
  <c r="AJ155" i="1"/>
  <c r="AM155" i="1"/>
  <c r="AH156" i="1"/>
  <c r="AJ156" i="1"/>
  <c r="AM156" i="1"/>
  <c r="AH157" i="1"/>
  <c r="AJ157" i="1"/>
  <c r="AM157" i="1"/>
  <c r="AH158" i="1"/>
  <c r="AJ158" i="1"/>
  <c r="AM158" i="1"/>
  <c r="AH159" i="1"/>
  <c r="AJ159" i="1"/>
  <c r="AM159" i="1"/>
  <c r="AH160" i="1"/>
  <c r="AJ160" i="1"/>
  <c r="AM160" i="1"/>
  <c r="AH161" i="1"/>
  <c r="AJ161" i="1"/>
  <c r="AM161" i="1"/>
  <c r="AH162" i="1"/>
  <c r="AJ162" i="1"/>
  <c r="AM162" i="1"/>
  <c r="AH163" i="1"/>
  <c r="AJ163" i="1"/>
  <c r="AM163" i="1"/>
  <c r="AH164" i="1"/>
  <c r="AJ164" i="1"/>
  <c r="AM164" i="1"/>
  <c r="AH165" i="1"/>
  <c r="AJ165" i="1"/>
  <c r="AM165" i="1"/>
  <c r="AH166" i="1"/>
  <c r="AJ166" i="1"/>
  <c r="AM166" i="1"/>
  <c r="AH167" i="1"/>
  <c r="AJ167" i="1"/>
  <c r="AM167" i="1"/>
  <c r="AH168" i="1"/>
  <c r="AJ168" i="1"/>
  <c r="AM168" i="1"/>
  <c r="AH169" i="1"/>
  <c r="AJ169" i="1"/>
  <c r="AM169" i="1"/>
  <c r="AH170" i="1"/>
  <c r="AJ170" i="1"/>
  <c r="AM170" i="1"/>
  <c r="AH171" i="1"/>
  <c r="AJ171" i="1"/>
  <c r="AM171" i="1"/>
  <c r="AH172" i="1"/>
  <c r="AJ172" i="1"/>
  <c r="AM172" i="1"/>
  <c r="AH173" i="1"/>
  <c r="AJ173" i="1"/>
  <c r="AM173" i="1"/>
  <c r="AH174" i="1"/>
  <c r="AJ174" i="1"/>
  <c r="AM174" i="1"/>
  <c r="AH175" i="1"/>
  <c r="AJ175" i="1"/>
  <c r="AM175" i="1"/>
  <c r="AH176" i="1"/>
  <c r="AJ176" i="1"/>
  <c r="AM176" i="1"/>
  <c r="AH177" i="1"/>
  <c r="AJ177" i="1"/>
  <c r="AM177" i="1"/>
  <c r="AH178" i="1"/>
  <c r="AJ178" i="1"/>
  <c r="AM178" i="1"/>
  <c r="AH179" i="1"/>
  <c r="AJ179" i="1"/>
  <c r="AM179" i="1"/>
  <c r="AH180" i="1"/>
  <c r="AJ180" i="1"/>
  <c r="AM180" i="1"/>
  <c r="AH181" i="1"/>
  <c r="AJ181" i="1"/>
  <c r="AM181" i="1"/>
  <c r="AH182" i="1"/>
  <c r="AJ182" i="1"/>
  <c r="AM182" i="1"/>
  <c r="AH183" i="1"/>
  <c r="AJ183" i="1"/>
  <c r="AM183" i="1"/>
  <c r="AH184" i="1"/>
  <c r="AJ184" i="1"/>
  <c r="AM184" i="1"/>
  <c r="AH186" i="1"/>
  <c r="AJ186" i="1"/>
  <c r="AM186" i="1"/>
  <c r="AH187" i="1"/>
  <c r="AJ187" i="1"/>
  <c r="AM187" i="1"/>
  <c r="AH188" i="1"/>
  <c r="AJ188" i="1"/>
  <c r="AM188" i="1"/>
  <c r="AG194" i="1"/>
  <c r="AI194" i="1"/>
  <c r="AL194" i="1"/>
  <c r="AH195" i="1"/>
  <c r="AJ195" i="1"/>
  <c r="AM195" i="1"/>
  <c r="AG196" i="1"/>
  <c r="AI196" i="1"/>
  <c r="AL196" i="1"/>
  <c r="AG197" i="1"/>
  <c r="AI197" i="1"/>
  <c r="AL197" i="1"/>
  <c r="AH202" i="1"/>
  <c r="AJ202" i="1"/>
  <c r="AM202" i="1"/>
  <c r="AG203" i="1"/>
  <c r="AI203" i="1"/>
  <c r="AL203" i="1"/>
  <c r="AG204" i="1"/>
  <c r="AI204" i="1"/>
  <c r="AL204" i="1"/>
  <c r="AG205" i="1"/>
  <c r="AI205" i="1"/>
  <c r="AL205" i="1"/>
  <c r="AG206" i="1"/>
  <c r="AI206" i="1"/>
  <c r="AL206" i="1"/>
  <c r="AG207" i="1"/>
  <c r="AI207" i="1"/>
  <c r="AL207" i="1"/>
  <c r="AG208" i="1"/>
  <c r="AI208" i="1"/>
  <c r="AL208" i="1"/>
  <c r="AG209" i="1"/>
  <c r="AI209" i="1"/>
  <c r="AL209" i="1"/>
  <c r="AH210" i="1"/>
  <c r="AJ210" i="1"/>
  <c r="AM210" i="1"/>
  <c r="AH211" i="1"/>
  <c r="AJ211" i="1"/>
  <c r="AM211" i="1"/>
  <c r="AG212" i="1"/>
  <c r="AI212" i="1"/>
  <c r="AL212" i="1"/>
  <c r="AH213" i="1"/>
  <c r="AJ213" i="1"/>
  <c r="AM213" i="1"/>
  <c r="AH214" i="1"/>
  <c r="AJ214" i="1"/>
  <c r="AM214" i="1"/>
  <c r="AH215" i="1"/>
  <c r="AJ215" i="1"/>
  <c r="AK215" i="1"/>
  <c r="AM215" i="1"/>
  <c r="AH216" i="1"/>
  <c r="AJ216" i="1"/>
  <c r="AK216" i="1"/>
  <c r="AM216" i="1"/>
  <c r="AG217" i="1"/>
  <c r="AI217" i="1"/>
  <c r="AK217" i="1"/>
  <c r="AL217" i="1"/>
  <c r="AH218" i="1"/>
  <c r="AJ218" i="1"/>
  <c r="AK218" i="1"/>
  <c r="AM218" i="1"/>
  <c r="AH219" i="1"/>
  <c r="AJ219" i="1"/>
  <c r="AM219" i="1"/>
  <c r="AH220" i="1"/>
  <c r="AJ220" i="1"/>
  <c r="AM220" i="1"/>
  <c r="AH221" i="1"/>
  <c r="AJ221" i="1"/>
  <c r="AM221" i="1"/>
  <c r="AH222" i="1"/>
  <c r="AJ222" i="1"/>
  <c r="AM222" i="1"/>
  <c r="AH223" i="1"/>
  <c r="AJ223" i="1"/>
  <c r="AM223" i="1"/>
  <c r="AH224" i="1"/>
  <c r="AJ224" i="1"/>
  <c r="AM224" i="1"/>
  <c r="AH225" i="1"/>
  <c r="AJ225" i="1"/>
  <c r="AM225" i="1"/>
  <c r="AH226" i="1"/>
  <c r="AJ226" i="1"/>
  <c r="AM226" i="1"/>
  <c r="AH227" i="1"/>
  <c r="AJ227" i="1"/>
  <c r="AM227" i="1"/>
  <c r="AG228" i="1"/>
  <c r="AI228" i="1"/>
  <c r="AL228" i="1"/>
  <c r="AH229" i="1"/>
  <c r="AJ229" i="1"/>
  <c r="AM229" i="1"/>
  <c r="AH230" i="1"/>
  <c r="AJ230" i="1"/>
  <c r="AM230" i="1"/>
  <c r="AH231" i="1"/>
  <c r="AJ231" i="1"/>
  <c r="AM231" i="1"/>
  <c r="AH232" i="1"/>
  <c r="AJ232" i="1"/>
  <c r="AM232" i="1"/>
  <c r="AG233" i="1"/>
  <c r="AI233" i="1"/>
  <c r="AL233" i="1"/>
  <c r="AG234" i="1"/>
  <c r="AH234" i="1"/>
  <c r="AI234" i="1"/>
  <c r="AL234" i="1" s="1"/>
  <c r="AJ234" i="1"/>
  <c r="AK234" i="1"/>
  <c r="AM234" i="1"/>
  <c r="AG235" i="1"/>
  <c r="AH235" i="1"/>
  <c r="AI235" i="1"/>
  <c r="AL235" i="1" s="1"/>
  <c r="AJ235" i="1"/>
  <c r="AK235" i="1"/>
  <c r="AM235" i="1"/>
  <c r="AG236" i="1"/>
  <c r="AH236" i="1"/>
  <c r="AI236" i="1"/>
  <c r="AL236" i="1" s="1"/>
  <c r="AJ236" i="1"/>
  <c r="AK236" i="1"/>
  <c r="AM236" i="1"/>
  <c r="AG237" i="1"/>
  <c r="AH237" i="1"/>
  <c r="AI237" i="1"/>
  <c r="AL237" i="1" s="1"/>
  <c r="AJ237" i="1"/>
  <c r="AK237" i="1"/>
  <c r="AM237" i="1"/>
  <c r="AG238" i="1"/>
  <c r="AH238" i="1"/>
  <c r="AI238" i="1"/>
  <c r="AL238" i="1" s="1"/>
  <c r="AJ238" i="1"/>
  <c r="AK238" i="1"/>
  <c r="AM238" i="1"/>
  <c r="AG239" i="1"/>
  <c r="AH239" i="1"/>
  <c r="AI239" i="1"/>
  <c r="AJ239" i="1"/>
  <c r="AK239" i="1"/>
  <c r="AL239" i="1"/>
  <c r="AM239" i="1"/>
  <c r="AG240" i="1"/>
  <c r="AH240" i="1"/>
  <c r="AI240" i="1"/>
  <c r="AL240" i="1" s="1"/>
  <c r="AJ240" i="1"/>
  <c r="AK240" i="1"/>
  <c r="AM240" i="1"/>
  <c r="AG241" i="1"/>
  <c r="AH241" i="1"/>
  <c r="AI241" i="1"/>
  <c r="AL241" i="1" s="1"/>
  <c r="AJ241" i="1"/>
  <c r="AK241" i="1"/>
  <c r="AM241" i="1"/>
  <c r="AG242" i="1"/>
  <c r="AH242" i="1"/>
  <c r="AI242" i="1"/>
  <c r="AL242" i="1" s="1"/>
  <c r="AJ242" i="1"/>
  <c r="AK242" i="1"/>
  <c r="AM242" i="1"/>
  <c r="AG243" i="1"/>
  <c r="AH243" i="1"/>
  <c r="AI243" i="1"/>
  <c r="AJ243" i="1"/>
  <c r="AM243" i="1" s="1"/>
  <c r="AK243" i="1"/>
  <c r="AL243" i="1"/>
  <c r="AH244" i="1"/>
  <c r="AJ244" i="1"/>
  <c r="AM244" i="1"/>
  <c r="AH245" i="1"/>
  <c r="AJ245" i="1"/>
  <c r="AM245" i="1"/>
  <c r="AG246" i="1"/>
  <c r="AI246" i="1"/>
  <c r="AL246" i="1"/>
  <c r="AG247" i="1"/>
  <c r="AI247" i="1"/>
  <c r="AL247" i="1"/>
  <c r="AH248" i="1"/>
  <c r="AJ248" i="1"/>
  <c r="AM248" i="1"/>
  <c r="AH249" i="1"/>
  <c r="AJ249" i="1"/>
  <c r="AM249" i="1"/>
  <c r="AH250" i="1"/>
  <c r="AJ250" i="1"/>
  <c r="AM250" i="1"/>
  <c r="AH251" i="1"/>
  <c r="AJ251" i="1"/>
  <c r="AM251" i="1"/>
  <c r="AH252" i="1"/>
  <c r="AJ252" i="1"/>
  <c r="AM252" i="1"/>
  <c r="AG253" i="1"/>
  <c r="AI253" i="1"/>
  <c r="AL253" i="1"/>
  <c r="AH254" i="1"/>
  <c r="AJ254" i="1"/>
  <c r="AM254" i="1"/>
  <c r="AH255" i="1"/>
  <c r="AJ255" i="1"/>
  <c r="AM255" i="1"/>
  <c r="AH256" i="1"/>
  <c r="AJ256" i="1"/>
  <c r="AM256" i="1"/>
  <c r="AG257" i="1"/>
  <c r="AI257" i="1"/>
  <c r="AL257" i="1"/>
  <c r="AG258" i="1"/>
  <c r="AI258" i="1"/>
  <c r="AL258" i="1"/>
  <c r="AH259" i="1"/>
  <c r="AJ259" i="1"/>
  <c r="AM259" i="1"/>
  <c r="AH260" i="1"/>
  <c r="AJ260" i="1"/>
  <c r="AM260" i="1"/>
  <c r="AH261" i="1"/>
  <c r="AJ261" i="1"/>
  <c r="AM261" i="1"/>
  <c r="AH262" i="1"/>
  <c r="AJ262" i="1"/>
  <c r="AM262" i="1"/>
  <c r="AH263" i="1"/>
  <c r="AJ263" i="1"/>
  <c r="AM263" i="1"/>
  <c r="AH264" i="1"/>
  <c r="AJ264" i="1"/>
  <c r="AM264" i="1"/>
  <c r="AG265" i="1"/>
  <c r="AI265" i="1"/>
  <c r="AL265" i="1"/>
  <c r="AG266" i="1"/>
  <c r="AI266" i="1"/>
  <c r="AL266" i="1"/>
  <c r="AG267" i="1"/>
  <c r="AI267" i="1"/>
  <c r="AL267" i="1"/>
  <c r="AH268" i="1"/>
  <c r="AJ268" i="1"/>
  <c r="AM268" i="1"/>
  <c r="AH269" i="1"/>
  <c r="AJ269" i="1"/>
  <c r="AM269" i="1"/>
  <c r="AH270" i="1"/>
  <c r="AJ270" i="1"/>
  <c r="AM270" i="1"/>
  <c r="AH271" i="1"/>
  <c r="AJ271" i="1"/>
  <c r="AM271" i="1"/>
  <c r="AH272" i="1"/>
  <c r="AJ272" i="1"/>
  <c r="AM272" i="1"/>
  <c r="AG273" i="1"/>
  <c r="AI273" i="1"/>
  <c r="AL273" i="1"/>
  <c r="AG274" i="1"/>
  <c r="AI274" i="1"/>
  <c r="AL274" i="1"/>
  <c r="AH275" i="1"/>
  <c r="AJ275" i="1"/>
  <c r="AM275" i="1"/>
  <c r="AH276" i="1"/>
  <c r="AJ276" i="1"/>
  <c r="AM276" i="1"/>
  <c r="AH277" i="1"/>
  <c r="AJ277" i="1"/>
  <c r="AM277" i="1"/>
  <c r="AH278" i="1"/>
  <c r="AJ278" i="1"/>
  <c r="AM278" i="1"/>
  <c r="AH279" i="1"/>
  <c r="AJ279" i="1"/>
  <c r="AM279" i="1"/>
  <c r="AH280" i="1"/>
  <c r="AJ280" i="1"/>
  <c r="AM280" i="1"/>
  <c r="AH281" i="1"/>
  <c r="AJ281" i="1"/>
  <c r="AM281" i="1"/>
  <c r="AG282" i="1"/>
  <c r="AI282" i="1"/>
  <c r="AL282" i="1"/>
  <c r="AG283" i="1"/>
  <c r="AI283" i="1"/>
  <c r="AL283" i="1"/>
  <c r="AG284" i="1"/>
  <c r="AI284" i="1"/>
  <c r="AL284" i="1"/>
  <c r="AG285" i="1"/>
  <c r="AI285" i="1"/>
  <c r="AL285" i="1"/>
  <c r="AG286" i="1"/>
  <c r="AI286" i="1"/>
  <c r="AL286" i="1"/>
  <c r="AG287" i="1"/>
  <c r="AI287" i="1"/>
  <c r="AL287" i="1"/>
  <c r="AH288" i="1"/>
  <c r="AJ288" i="1"/>
  <c r="AM288" i="1"/>
  <c r="AH289" i="1"/>
  <c r="AJ289" i="1"/>
  <c r="AM289" i="1"/>
  <c r="AH290" i="1"/>
  <c r="AJ290" i="1"/>
  <c r="AM290" i="1"/>
  <c r="AH292" i="1"/>
  <c r="AJ292" i="1"/>
  <c r="AM292" i="1"/>
  <c r="AG293" i="1"/>
  <c r="AI293" i="1"/>
  <c r="AL293" i="1"/>
  <c r="AH294" i="1"/>
  <c r="AJ294" i="1"/>
  <c r="AM294" i="1"/>
  <c r="AH295" i="1"/>
  <c r="AJ295" i="1"/>
  <c r="AM295" i="1"/>
  <c r="AH296" i="1"/>
  <c r="AJ296" i="1"/>
  <c r="AM296" i="1"/>
  <c r="AH297" i="1"/>
  <c r="AJ297" i="1"/>
  <c r="AM297" i="1"/>
  <c r="AH298" i="1"/>
  <c r="AJ298" i="1"/>
  <c r="AM298" i="1"/>
  <c r="AH299" i="1"/>
  <c r="AJ299" i="1"/>
  <c r="AM299" i="1"/>
  <c r="AH300" i="1"/>
  <c r="AJ300" i="1"/>
  <c r="AM300" i="1"/>
  <c r="AH301" i="1"/>
  <c r="AJ301" i="1"/>
  <c r="AM301" i="1"/>
  <c r="AH302" i="1"/>
  <c r="AJ302" i="1"/>
  <c r="AM302" i="1"/>
  <c r="AH303" i="1"/>
  <c r="AJ303" i="1"/>
  <c r="AM303" i="1"/>
  <c r="AH304" i="1"/>
  <c r="AJ304" i="1"/>
  <c r="AM304" i="1"/>
  <c r="AH305" i="1"/>
  <c r="AJ305" i="1"/>
  <c r="AM305" i="1"/>
  <c r="AH306" i="1"/>
  <c r="AJ306" i="1"/>
  <c r="AM306" i="1"/>
  <c r="AH307" i="1"/>
  <c r="AJ307" i="1"/>
  <c r="AM307" i="1"/>
  <c r="AH308" i="1"/>
  <c r="AJ308" i="1"/>
  <c r="AM308" i="1"/>
  <c r="AG309" i="1"/>
  <c r="AI309" i="1"/>
  <c r="AL309" i="1"/>
  <c r="AH310" i="1"/>
  <c r="AJ310" i="1"/>
  <c r="AM310" i="1"/>
  <c r="AH311" i="1"/>
  <c r="AJ311" i="1"/>
  <c r="AM311" i="1"/>
  <c r="AH312" i="1"/>
  <c r="AJ312" i="1"/>
  <c r="AM312" i="1"/>
  <c r="AH313" i="1"/>
  <c r="AJ313" i="1"/>
  <c r="AM313" i="1"/>
  <c r="AH314" i="1"/>
  <c r="AJ314" i="1"/>
  <c r="AM314" i="1"/>
  <c r="AH315" i="1"/>
  <c r="AJ315" i="1"/>
  <c r="AM315" i="1"/>
  <c r="AH316" i="1"/>
  <c r="AJ316" i="1"/>
  <c r="AM316" i="1"/>
  <c r="AG317" i="1"/>
  <c r="AI317" i="1"/>
  <c r="AL317" i="1"/>
  <c r="AH318" i="1"/>
  <c r="AJ318" i="1"/>
  <c r="AM318" i="1"/>
  <c r="AH319" i="1"/>
  <c r="AJ319" i="1"/>
  <c r="AM319" i="1"/>
  <c r="AH320" i="1"/>
  <c r="AJ320" i="1"/>
  <c r="AM320" i="1"/>
  <c r="AH321" i="1"/>
  <c r="AJ321" i="1"/>
  <c r="AM321" i="1"/>
  <c r="AG322" i="1"/>
  <c r="AI322" i="1"/>
  <c r="AL322" i="1"/>
  <c r="AH323" i="1"/>
  <c r="AJ323" i="1"/>
  <c r="AM323" i="1"/>
  <c r="AH324" i="1"/>
  <c r="AJ324" i="1"/>
  <c r="AM324" i="1"/>
  <c r="AH325" i="1"/>
  <c r="AJ325" i="1"/>
  <c r="AM325" i="1"/>
  <c r="AH326" i="1"/>
  <c r="AJ326" i="1"/>
  <c r="AM326" i="1"/>
  <c r="AH327" i="1"/>
  <c r="AJ327" i="1"/>
  <c r="AM327" i="1"/>
  <c r="AH328" i="1"/>
  <c r="AJ328" i="1"/>
  <c r="AM328" i="1"/>
  <c r="AH329" i="1"/>
  <c r="AJ329" i="1"/>
  <c r="AM329" i="1"/>
  <c r="AH330" i="1"/>
  <c r="AJ330" i="1"/>
  <c r="AM330" i="1"/>
  <c r="AH331" i="1"/>
  <c r="AJ331" i="1"/>
  <c r="AM331" i="1"/>
  <c r="AH332" i="1"/>
  <c r="AJ332" i="1"/>
  <c r="AM332" i="1"/>
  <c r="AH334" i="1"/>
  <c r="AJ334" i="1"/>
  <c r="AM334" i="1"/>
  <c r="AH335" i="1"/>
  <c r="AJ335" i="1"/>
  <c r="AM335" i="1"/>
  <c r="AH336" i="1"/>
  <c r="AJ336" i="1"/>
  <c r="AM336" i="1"/>
  <c r="AH337" i="1"/>
  <c r="AJ337" i="1"/>
  <c r="AM337" i="1"/>
  <c r="AH338" i="1"/>
  <c r="AJ338" i="1"/>
  <c r="AM338" i="1"/>
  <c r="AH339" i="1"/>
  <c r="AJ339" i="1"/>
  <c r="AM339" i="1"/>
  <c r="AH340" i="1"/>
  <c r="AJ340" i="1"/>
  <c r="AM340" i="1"/>
  <c r="AH341" i="1"/>
  <c r="AJ341" i="1"/>
  <c r="AM341" i="1"/>
  <c r="AH342" i="1"/>
  <c r="AJ342" i="1"/>
  <c r="AM342" i="1"/>
  <c r="AH343" i="1"/>
  <c r="AJ343" i="1"/>
  <c r="AM343" i="1"/>
  <c r="AH344" i="1"/>
  <c r="AJ344" i="1"/>
  <c r="AM344" i="1"/>
  <c r="AH345" i="1"/>
  <c r="AJ345" i="1"/>
  <c r="AM345" i="1"/>
  <c r="AH346" i="1"/>
  <c r="AJ346" i="1"/>
  <c r="AM346" i="1"/>
  <c r="AG347" i="1"/>
  <c r="AI347" i="1"/>
  <c r="AL347" i="1"/>
  <c r="AG348" i="1"/>
  <c r="AI348" i="1"/>
  <c r="AL348" i="1"/>
  <c r="AG349" i="1"/>
  <c r="AI349" i="1"/>
  <c r="AL349" i="1"/>
  <c r="AG350" i="1"/>
  <c r="AI350" i="1"/>
  <c r="AL350" i="1"/>
  <c r="AG351" i="1"/>
  <c r="AI351" i="1"/>
  <c r="AL351" i="1"/>
  <c r="AH352" i="1"/>
  <c r="AJ352" i="1"/>
  <c r="AM352" i="1"/>
  <c r="AG354" i="1"/>
  <c r="AI354" i="1"/>
  <c r="AL354" i="1"/>
  <c r="AH356" i="1"/>
  <c r="AJ356" i="1"/>
  <c r="AM356" i="1"/>
  <c r="AH357" i="1"/>
  <c r="AJ357" i="1"/>
  <c r="AM357" i="1"/>
  <c r="AH358" i="1"/>
  <c r="AJ358" i="1"/>
  <c r="AM358" i="1"/>
  <c r="AH359" i="1"/>
  <c r="AJ359" i="1"/>
  <c r="AM359" i="1"/>
  <c r="AH360" i="1"/>
  <c r="AJ360" i="1"/>
  <c r="AM360" i="1"/>
  <c r="AH361" i="1"/>
  <c r="AJ361" i="1"/>
  <c r="AM361" i="1"/>
  <c r="AH362" i="1"/>
  <c r="AJ362" i="1"/>
  <c r="AM362" i="1"/>
  <c r="AH363" i="1"/>
  <c r="AJ363" i="1"/>
  <c r="AM363" i="1"/>
  <c r="AH364" i="1"/>
  <c r="AJ364" i="1"/>
  <c r="AM364" i="1"/>
  <c r="AH365" i="1"/>
  <c r="AJ365" i="1"/>
  <c r="AM365" i="1"/>
  <c r="AH366" i="1"/>
  <c r="AJ366" i="1"/>
  <c r="AM366" i="1"/>
  <c r="AH367" i="1"/>
  <c r="AJ367" i="1"/>
  <c r="AM367" i="1"/>
  <c r="AG368" i="1"/>
  <c r="AI368" i="1"/>
  <c r="AL368" i="1"/>
  <c r="AG370" i="1"/>
  <c r="AI370" i="1"/>
  <c r="AL370" i="1"/>
  <c r="AH371" i="1"/>
  <c r="AJ371" i="1"/>
  <c r="AM371" i="1"/>
  <c r="AH372" i="1"/>
  <c r="AJ372" i="1"/>
  <c r="AM372" i="1"/>
  <c r="AH373" i="1"/>
  <c r="AJ373" i="1"/>
  <c r="AM373" i="1"/>
  <c r="AH374" i="1"/>
  <c r="AJ374" i="1"/>
  <c r="AM374" i="1"/>
  <c r="AH375" i="1"/>
  <c r="AJ375" i="1"/>
  <c r="AM375" i="1"/>
  <c r="AH376" i="1"/>
  <c r="AJ376" i="1"/>
  <c r="AM376" i="1"/>
  <c r="AC225" i="1"/>
  <c r="AC226" i="1"/>
  <c r="AC227" i="1"/>
  <c r="AC228" i="1"/>
  <c r="AC229" i="1"/>
  <c r="AC230" i="1"/>
  <c r="AC231" i="1"/>
  <c r="AC232" i="1"/>
  <c r="AC233" i="1"/>
  <c r="AC376" i="1"/>
  <c r="V376" i="1"/>
  <c r="AC375" i="1"/>
  <c r="V375" i="1"/>
  <c r="AC374" i="1"/>
  <c r="V374" i="1"/>
  <c r="AC373" i="1"/>
  <c r="AG373" i="1" s="1"/>
  <c r="V373" i="1"/>
  <c r="AC372" i="1"/>
  <c r="AG372" i="1" s="1"/>
  <c r="V372" i="1"/>
  <c r="AC371" i="1"/>
  <c r="AG371" i="1" s="1"/>
  <c r="V371" i="1"/>
  <c r="AC370" i="1"/>
  <c r="AK370" i="1" s="1"/>
  <c r="V370" i="1"/>
  <c r="AC369" i="1"/>
  <c r="AG369" i="1" s="1"/>
  <c r="V369" i="1"/>
  <c r="AC368" i="1"/>
  <c r="AH368" i="1" s="1"/>
  <c r="V368" i="1"/>
  <c r="AC367" i="1"/>
  <c r="AG367" i="1" s="1"/>
  <c r="AC366" i="1"/>
  <c r="AG366" i="1" s="1"/>
  <c r="V366" i="1"/>
  <c r="AC365" i="1"/>
  <c r="AG365" i="1" s="1"/>
  <c r="V365" i="1"/>
  <c r="AC364" i="1"/>
  <c r="AG364" i="1" s="1"/>
  <c r="V364" i="1"/>
  <c r="AC363" i="1"/>
  <c r="AG363" i="1" s="1"/>
  <c r="V363" i="1"/>
  <c r="AC362" i="1"/>
  <c r="AG362" i="1" s="1"/>
  <c r="V362" i="1"/>
  <c r="AC361" i="1"/>
  <c r="AG361" i="1" s="1"/>
  <c r="V361" i="1"/>
  <c r="AC360" i="1"/>
  <c r="AG360" i="1" s="1"/>
  <c r="V360" i="1"/>
  <c r="AC359" i="1"/>
  <c r="AG359" i="1" s="1"/>
  <c r="V359" i="1"/>
  <c r="AC358" i="1"/>
  <c r="AG358" i="1" s="1"/>
  <c r="V358" i="1"/>
  <c r="AC357" i="1"/>
  <c r="AG357" i="1" s="1"/>
  <c r="V357" i="1"/>
  <c r="AC356" i="1"/>
  <c r="AG356" i="1" s="1"/>
  <c r="V356" i="1"/>
  <c r="AC355" i="1"/>
  <c r="AH355" i="1" s="1"/>
  <c r="V355" i="1"/>
  <c r="AC354" i="1"/>
  <c r="AK354" i="1" s="1"/>
  <c r="V354" i="1"/>
  <c r="AC353" i="1"/>
  <c r="AG353" i="1" s="1"/>
  <c r="V353" i="1"/>
  <c r="AC352" i="1"/>
  <c r="AG352" i="1" s="1"/>
  <c r="V352" i="1"/>
  <c r="AC351" i="1"/>
  <c r="AK351" i="1" s="1"/>
  <c r="V351" i="1"/>
  <c r="AC350" i="1"/>
  <c r="AH350" i="1" s="1"/>
  <c r="V350" i="1"/>
  <c r="AC349" i="1"/>
  <c r="AH349" i="1" s="1"/>
  <c r="V349" i="1"/>
  <c r="AC348" i="1"/>
  <c r="AK348" i="1" s="1"/>
  <c r="V348" i="1"/>
  <c r="AC347" i="1"/>
  <c r="AK347" i="1" s="1"/>
  <c r="V347" i="1"/>
  <c r="AC346" i="1"/>
  <c r="AG346" i="1" s="1"/>
  <c r="AC345" i="1"/>
  <c r="AG345" i="1" s="1"/>
  <c r="V345" i="1"/>
  <c r="AC344" i="1"/>
  <c r="AG344" i="1" s="1"/>
  <c r="V344" i="1"/>
  <c r="AC343" i="1"/>
  <c r="AG343" i="1" s="1"/>
  <c r="V343" i="1"/>
  <c r="AC342" i="1"/>
  <c r="AG342" i="1" s="1"/>
  <c r="V342" i="1"/>
  <c r="AC341" i="1"/>
  <c r="AG341" i="1" s="1"/>
  <c r="V341" i="1"/>
  <c r="AC340" i="1"/>
  <c r="AG340" i="1" s="1"/>
  <c r="V340" i="1"/>
  <c r="AC339" i="1"/>
  <c r="AG339" i="1" s="1"/>
  <c r="V339" i="1"/>
  <c r="AC338" i="1"/>
  <c r="AG338" i="1" s="1"/>
  <c r="V338" i="1"/>
  <c r="AC337" i="1"/>
  <c r="AG337" i="1" s="1"/>
  <c r="V337" i="1"/>
  <c r="AC336" i="1"/>
  <c r="AG336" i="1" s="1"/>
  <c r="V336" i="1"/>
  <c r="AC335" i="1"/>
  <c r="AG335" i="1" s="1"/>
  <c r="V335" i="1"/>
  <c r="AC334" i="1"/>
  <c r="AG334" i="1" s="1"/>
  <c r="V334" i="1"/>
  <c r="AC333" i="1"/>
  <c r="AG333" i="1" s="1"/>
  <c r="V333" i="1"/>
  <c r="AC332" i="1"/>
  <c r="AG332" i="1" s="1"/>
  <c r="V332" i="1"/>
  <c r="AC331" i="1"/>
  <c r="AG331" i="1" s="1"/>
  <c r="V331" i="1"/>
  <c r="AC330" i="1"/>
  <c r="AG330" i="1" s="1"/>
  <c r="V330" i="1"/>
  <c r="AC329" i="1"/>
  <c r="AG329" i="1" s="1"/>
  <c r="V329" i="1"/>
  <c r="AC328" i="1"/>
  <c r="AG328" i="1" s="1"/>
  <c r="V328" i="1"/>
  <c r="AC327" i="1"/>
  <c r="AG327" i="1" s="1"/>
  <c r="V327" i="1"/>
  <c r="AC326" i="1"/>
  <c r="AG326" i="1" s="1"/>
  <c r="AC325" i="1"/>
  <c r="AG325" i="1" s="1"/>
  <c r="V325" i="1"/>
  <c r="AC324" i="1"/>
  <c r="AG324" i="1" s="1"/>
  <c r="V324" i="1"/>
  <c r="AC323" i="1"/>
  <c r="AG323" i="1" s="1"/>
  <c r="V323" i="1"/>
  <c r="AC322" i="1"/>
  <c r="AK322" i="1" s="1"/>
  <c r="V322" i="1"/>
  <c r="AC321" i="1"/>
  <c r="AG321" i="1" s="1"/>
  <c r="V321" i="1"/>
  <c r="AC320" i="1"/>
  <c r="AG320" i="1" s="1"/>
  <c r="V320" i="1"/>
  <c r="AC319" i="1"/>
  <c r="AG319" i="1" s="1"/>
  <c r="V319" i="1"/>
  <c r="AC318" i="1"/>
  <c r="AG318" i="1" s="1"/>
  <c r="V318" i="1"/>
  <c r="AC317" i="1"/>
  <c r="AK317" i="1" s="1"/>
  <c r="V317" i="1"/>
  <c r="AC316" i="1"/>
  <c r="AG316" i="1" s="1"/>
  <c r="V316" i="1"/>
  <c r="AC315" i="1"/>
  <c r="AG315" i="1" s="1"/>
  <c r="V315" i="1"/>
  <c r="AC314" i="1"/>
  <c r="AG314" i="1" s="1"/>
  <c r="V314" i="1"/>
  <c r="AC313" i="1"/>
  <c r="AG313" i="1" s="1"/>
  <c r="V313" i="1"/>
  <c r="AC312" i="1"/>
  <c r="AG312" i="1" s="1"/>
  <c r="V312" i="1"/>
  <c r="AC311" i="1"/>
  <c r="AG311" i="1" s="1"/>
  <c r="V311" i="1"/>
  <c r="AC310" i="1"/>
  <c r="AG310" i="1" s="1"/>
  <c r="AC309" i="1"/>
  <c r="AH309" i="1" s="1"/>
  <c r="AC308" i="1"/>
  <c r="AG308" i="1" s="1"/>
  <c r="AC307" i="1"/>
  <c r="AG307" i="1" s="1"/>
  <c r="AC306" i="1"/>
  <c r="AG306" i="1" s="1"/>
  <c r="V306" i="1"/>
  <c r="AC305" i="1"/>
  <c r="AG305" i="1" s="1"/>
  <c r="V305" i="1"/>
  <c r="AC304" i="1"/>
  <c r="AG304" i="1" s="1"/>
  <c r="V304" i="1"/>
  <c r="AC303" i="1"/>
  <c r="AG303" i="1" s="1"/>
  <c r="V303" i="1"/>
  <c r="AC302" i="1"/>
  <c r="AG302" i="1" s="1"/>
  <c r="V302" i="1"/>
  <c r="AC301" i="1"/>
  <c r="AG301" i="1" s="1"/>
  <c r="V301" i="1"/>
  <c r="AC300" i="1"/>
  <c r="AG300" i="1" s="1"/>
  <c r="V300" i="1"/>
  <c r="AC299" i="1"/>
  <c r="AG299" i="1" s="1"/>
  <c r="V299" i="1"/>
  <c r="AC298" i="1"/>
  <c r="AG298" i="1" s="1"/>
  <c r="V298" i="1"/>
  <c r="AC297" i="1"/>
  <c r="AG297" i="1" s="1"/>
  <c r="V297" i="1"/>
  <c r="AC296" i="1"/>
  <c r="AG296" i="1" s="1"/>
  <c r="AC295" i="1"/>
  <c r="AG295" i="1" s="1"/>
  <c r="AG374" i="1" l="1"/>
  <c r="AG375" i="1"/>
  <c r="AG376" i="1"/>
  <c r="AG232" i="1"/>
  <c r="AI232" i="1"/>
  <c r="AL232" i="1" s="1"/>
  <c r="AK232" i="1"/>
  <c r="AG230" i="1"/>
  <c r="AI230" i="1"/>
  <c r="AL230" i="1" s="1"/>
  <c r="AK230" i="1"/>
  <c r="AK228" i="1"/>
  <c r="AH228" i="1"/>
  <c r="AJ228" i="1"/>
  <c r="AM228" i="1" s="1"/>
  <c r="AG226" i="1"/>
  <c r="AI226" i="1"/>
  <c r="AL226" i="1" s="1"/>
  <c r="AK226" i="1"/>
  <c r="AK375" i="1"/>
  <c r="AI375" i="1"/>
  <c r="AL375" i="1" s="1"/>
  <c r="AK374" i="1"/>
  <c r="AI374" i="1"/>
  <c r="AL374" i="1" s="1"/>
  <c r="AK371" i="1"/>
  <c r="AI371" i="1"/>
  <c r="AL371" i="1" s="1"/>
  <c r="AJ370" i="1"/>
  <c r="AM370" i="1" s="1"/>
  <c r="AH370" i="1"/>
  <c r="AJ369" i="1"/>
  <c r="AM369" i="1" s="1"/>
  <c r="AH369" i="1"/>
  <c r="AK368" i="1"/>
  <c r="AK365" i="1"/>
  <c r="AI365" i="1"/>
  <c r="AL365" i="1" s="1"/>
  <c r="AK364" i="1"/>
  <c r="AI364" i="1"/>
  <c r="AL364" i="1" s="1"/>
  <c r="AK361" i="1"/>
  <c r="AI361" i="1"/>
  <c r="AL361" i="1" s="1"/>
  <c r="AK360" i="1"/>
  <c r="AI360" i="1"/>
  <c r="AL360" i="1" s="1"/>
  <c r="AK357" i="1"/>
  <c r="AI357" i="1"/>
  <c r="AL357" i="1" s="1"/>
  <c r="AK356" i="1"/>
  <c r="AI356" i="1"/>
  <c r="AL356" i="1" s="1"/>
  <c r="AK355" i="1"/>
  <c r="AI355" i="1"/>
  <c r="AL355" i="1" s="1"/>
  <c r="AG355" i="1"/>
  <c r="AJ354" i="1"/>
  <c r="AM354" i="1" s="1"/>
  <c r="AH354" i="1"/>
  <c r="AJ353" i="1"/>
  <c r="AM353" i="1" s="1"/>
  <c r="AH353" i="1"/>
  <c r="AJ351" i="1"/>
  <c r="AM351" i="1" s="1"/>
  <c r="AH351" i="1"/>
  <c r="AK350" i="1"/>
  <c r="AK349" i="1"/>
  <c r="AJ348" i="1"/>
  <c r="AM348" i="1" s="1"/>
  <c r="AH348" i="1"/>
  <c r="AJ347" i="1"/>
  <c r="AM347" i="1" s="1"/>
  <c r="AH347" i="1"/>
  <c r="AK345" i="1"/>
  <c r="AI345" i="1"/>
  <c r="AL345" i="1" s="1"/>
  <c r="AK344" i="1"/>
  <c r="AI344" i="1"/>
  <c r="AL344" i="1" s="1"/>
  <c r="AK341" i="1"/>
  <c r="AI341" i="1"/>
  <c r="AL341" i="1" s="1"/>
  <c r="AK340" i="1"/>
  <c r="AI340" i="1"/>
  <c r="AL340" i="1" s="1"/>
  <c r="AK337" i="1"/>
  <c r="AI337" i="1"/>
  <c r="AL337" i="1" s="1"/>
  <c r="AK336" i="1"/>
  <c r="AI336" i="1"/>
  <c r="AL336" i="1" s="1"/>
  <c r="AJ333" i="1"/>
  <c r="AM333" i="1" s="1"/>
  <c r="AH333" i="1"/>
  <c r="AK331" i="1"/>
  <c r="AI331" i="1"/>
  <c r="AL331" i="1" s="1"/>
  <c r="AK330" i="1"/>
  <c r="AI330" i="1"/>
  <c r="AL330" i="1" s="1"/>
  <c r="AK327" i="1"/>
  <c r="AI327" i="1"/>
  <c r="AL327" i="1" s="1"/>
  <c r="AK326" i="1"/>
  <c r="AI326" i="1"/>
  <c r="AL326" i="1" s="1"/>
  <c r="AK323" i="1"/>
  <c r="AI323" i="1"/>
  <c r="AL323" i="1" s="1"/>
  <c r="AJ322" i="1"/>
  <c r="AM322" i="1" s="1"/>
  <c r="AH322" i="1"/>
  <c r="AK321" i="1"/>
  <c r="AI321" i="1"/>
  <c r="AL321" i="1" s="1"/>
  <c r="AK320" i="1"/>
  <c r="AI320" i="1"/>
  <c r="AL320" i="1" s="1"/>
  <c r="AJ317" i="1"/>
  <c r="AM317" i="1" s="1"/>
  <c r="AH317" i="1"/>
  <c r="AK315" i="1"/>
  <c r="AI315" i="1"/>
  <c r="AL315" i="1" s="1"/>
  <c r="AK314" i="1"/>
  <c r="AI314" i="1"/>
  <c r="AL314" i="1" s="1"/>
  <c r="AK311" i="1"/>
  <c r="AI311" i="1"/>
  <c r="AL311" i="1" s="1"/>
  <c r="AK310" i="1"/>
  <c r="AI310" i="1"/>
  <c r="AL310" i="1" s="1"/>
  <c r="AK309" i="1"/>
  <c r="AK308" i="1"/>
  <c r="AI308" i="1"/>
  <c r="AL308" i="1" s="1"/>
  <c r="AK305" i="1"/>
  <c r="AI305" i="1"/>
  <c r="AL305" i="1" s="1"/>
  <c r="AK304" i="1"/>
  <c r="AI304" i="1"/>
  <c r="AL304" i="1" s="1"/>
  <c r="AK301" i="1"/>
  <c r="AI301" i="1"/>
  <c r="AL301" i="1" s="1"/>
  <c r="AK300" i="1"/>
  <c r="AI300" i="1"/>
  <c r="AL300" i="1" s="1"/>
  <c r="AK297" i="1"/>
  <c r="AI297" i="1"/>
  <c r="AL297" i="1" s="1"/>
  <c r="AK296" i="1"/>
  <c r="AI296" i="1"/>
  <c r="AL296" i="1" s="1"/>
  <c r="AH233" i="1"/>
  <c r="AJ233" i="1"/>
  <c r="AM233" i="1" s="1"/>
  <c r="AK233" i="1"/>
  <c r="AG231" i="1"/>
  <c r="AI231" i="1"/>
  <c r="AL231" i="1" s="1"/>
  <c r="AK231" i="1"/>
  <c r="AG229" i="1"/>
  <c r="AI229" i="1"/>
  <c r="AL229" i="1" s="1"/>
  <c r="AK229" i="1"/>
  <c r="AG227" i="1"/>
  <c r="AI227" i="1"/>
  <c r="AL227" i="1" s="1"/>
  <c r="AK227" i="1"/>
  <c r="AG225" i="1"/>
  <c r="AI225" i="1"/>
  <c r="AL225" i="1" s="1"/>
  <c r="AK225" i="1"/>
  <c r="AK376" i="1"/>
  <c r="AI376" i="1"/>
  <c r="AL376" i="1" s="1"/>
  <c r="AK373" i="1"/>
  <c r="AI373" i="1"/>
  <c r="AL373" i="1" s="1"/>
  <c r="AK372" i="1"/>
  <c r="AI372" i="1"/>
  <c r="AL372" i="1" s="1"/>
  <c r="AK369" i="1"/>
  <c r="AI369" i="1"/>
  <c r="AL369" i="1" s="1"/>
  <c r="AJ368" i="1"/>
  <c r="AM368" i="1" s="1"/>
  <c r="AK367" i="1"/>
  <c r="AI367" i="1"/>
  <c r="AL367" i="1" s="1"/>
  <c r="AK366" i="1"/>
  <c r="AI366" i="1"/>
  <c r="AL366" i="1" s="1"/>
  <c r="AK363" i="1"/>
  <c r="AI363" i="1"/>
  <c r="AL363" i="1" s="1"/>
  <c r="AK362" i="1"/>
  <c r="AI362" i="1"/>
  <c r="AL362" i="1" s="1"/>
  <c r="AK359" i="1"/>
  <c r="AI359" i="1"/>
  <c r="AL359" i="1" s="1"/>
  <c r="AK358" i="1"/>
  <c r="AI358" i="1"/>
  <c r="AL358" i="1" s="1"/>
  <c r="AJ355" i="1"/>
  <c r="AM355" i="1" s="1"/>
  <c r="AK353" i="1"/>
  <c r="AI353" i="1"/>
  <c r="AL353" i="1" s="1"/>
  <c r="AK352" i="1"/>
  <c r="AI352" i="1"/>
  <c r="AL352" i="1" s="1"/>
  <c r="AJ350" i="1"/>
  <c r="AM350" i="1" s="1"/>
  <c r="AJ349" i="1"/>
  <c r="AM349" i="1" s="1"/>
  <c r="AK346" i="1"/>
  <c r="AI346" i="1"/>
  <c r="AL346" i="1" s="1"/>
  <c r="AK343" i="1"/>
  <c r="AI343" i="1"/>
  <c r="AL343" i="1" s="1"/>
  <c r="AK342" i="1"/>
  <c r="AI342" i="1"/>
  <c r="AL342" i="1" s="1"/>
  <c r="AK339" i="1"/>
  <c r="AI339" i="1"/>
  <c r="AL339" i="1" s="1"/>
  <c r="AK338" i="1"/>
  <c r="AI338" i="1"/>
  <c r="AL338" i="1" s="1"/>
  <c r="AK335" i="1"/>
  <c r="AI335" i="1"/>
  <c r="AL335" i="1" s="1"/>
  <c r="AK334" i="1"/>
  <c r="AI334" i="1"/>
  <c r="AL334" i="1" s="1"/>
  <c r="AK333" i="1"/>
  <c r="AI333" i="1"/>
  <c r="AL333" i="1" s="1"/>
  <c r="AK332" i="1"/>
  <c r="AI332" i="1"/>
  <c r="AL332" i="1" s="1"/>
  <c r="AK329" i="1"/>
  <c r="AI329" i="1"/>
  <c r="AL329" i="1" s="1"/>
  <c r="AK328" i="1"/>
  <c r="AI328" i="1"/>
  <c r="AL328" i="1" s="1"/>
  <c r="AK325" i="1"/>
  <c r="AI325" i="1"/>
  <c r="AL325" i="1" s="1"/>
  <c r="AK324" i="1"/>
  <c r="AI324" i="1"/>
  <c r="AL324" i="1" s="1"/>
  <c r="AK319" i="1"/>
  <c r="AI319" i="1"/>
  <c r="AL319" i="1" s="1"/>
  <c r="AK318" i="1"/>
  <c r="AI318" i="1"/>
  <c r="AL318" i="1" s="1"/>
  <c r="AK316" i="1"/>
  <c r="AI316" i="1"/>
  <c r="AL316" i="1" s="1"/>
  <c r="AK313" i="1"/>
  <c r="AI313" i="1"/>
  <c r="AL313" i="1" s="1"/>
  <c r="AK312" i="1"/>
  <c r="AI312" i="1"/>
  <c r="AL312" i="1" s="1"/>
  <c r="AJ309" i="1"/>
  <c r="AM309" i="1" s="1"/>
  <c r="AK307" i="1"/>
  <c r="AI307" i="1"/>
  <c r="AL307" i="1" s="1"/>
  <c r="AK306" i="1"/>
  <c r="AI306" i="1"/>
  <c r="AL306" i="1" s="1"/>
  <c r="AK303" i="1"/>
  <c r="AI303" i="1"/>
  <c r="AL303" i="1" s="1"/>
  <c r="AK302" i="1"/>
  <c r="AI302" i="1"/>
  <c r="AL302" i="1" s="1"/>
  <c r="AK299" i="1"/>
  <c r="AI299" i="1"/>
  <c r="AL299" i="1" s="1"/>
  <c r="AK298" i="1"/>
  <c r="AI298" i="1"/>
  <c r="AL298" i="1" s="1"/>
  <c r="AK295" i="1"/>
  <c r="AI295" i="1"/>
  <c r="AL295" i="1" s="1"/>
  <c r="AC294" i="1"/>
  <c r="AC293" i="1"/>
  <c r="AC292" i="1"/>
  <c r="V292" i="1"/>
  <c r="AC291" i="1"/>
  <c r="V291" i="1"/>
  <c r="AC290" i="1"/>
  <c r="V290" i="1"/>
  <c r="AC289" i="1"/>
  <c r="V289" i="1"/>
  <c r="AC288" i="1"/>
  <c r="V288" i="1"/>
  <c r="AC287" i="1"/>
  <c r="AC286" i="1"/>
  <c r="AC285" i="1"/>
  <c r="V285" i="1"/>
  <c r="AC284" i="1"/>
  <c r="V284" i="1"/>
  <c r="AC283" i="1"/>
  <c r="V283" i="1"/>
  <c r="AK283" i="1" l="1"/>
  <c r="AH283" i="1"/>
  <c r="AJ283" i="1"/>
  <c r="AM283" i="1" s="1"/>
  <c r="AH284" i="1"/>
  <c r="AJ284" i="1"/>
  <c r="AM284" i="1" s="1"/>
  <c r="AK284" i="1"/>
  <c r="AH285" i="1"/>
  <c r="AJ285" i="1"/>
  <c r="AM285" i="1" s="1"/>
  <c r="AK285" i="1"/>
  <c r="AK286" i="1"/>
  <c r="AH286" i="1"/>
  <c r="AJ286" i="1"/>
  <c r="AM286" i="1" s="1"/>
  <c r="AK287" i="1"/>
  <c r="AH287" i="1"/>
  <c r="AJ287" i="1"/>
  <c r="AM287" i="1" s="1"/>
  <c r="AG288" i="1"/>
  <c r="AI288" i="1"/>
  <c r="AL288" i="1" s="1"/>
  <c r="AK288" i="1"/>
  <c r="AG289" i="1"/>
  <c r="AI289" i="1"/>
  <c r="AL289" i="1" s="1"/>
  <c r="AK289" i="1"/>
  <c r="AG290" i="1"/>
  <c r="AI290" i="1"/>
  <c r="AL290" i="1" s="1"/>
  <c r="AK290" i="1"/>
  <c r="AG291" i="1"/>
  <c r="AI291" i="1"/>
  <c r="AL291" i="1" s="1"/>
  <c r="AK291" i="1"/>
  <c r="AH291" i="1"/>
  <c r="AJ291" i="1"/>
  <c r="AM291" i="1" s="1"/>
  <c r="AG292" i="1"/>
  <c r="AI292" i="1"/>
  <c r="AL292" i="1" s="1"/>
  <c r="AK292" i="1"/>
  <c r="AK293" i="1"/>
  <c r="AH293" i="1"/>
  <c r="AJ293" i="1"/>
  <c r="AM293" i="1" s="1"/>
  <c r="AG294" i="1"/>
  <c r="AI294" i="1"/>
  <c r="AL294" i="1" s="1"/>
  <c r="AK294" i="1"/>
  <c r="AC282" i="1"/>
  <c r="AC281" i="1"/>
  <c r="AC280" i="1"/>
  <c r="AC279" i="1"/>
  <c r="V279" i="1"/>
  <c r="AC278" i="1"/>
  <c r="V278" i="1"/>
  <c r="AC277" i="1"/>
  <c r="V277" i="1"/>
  <c r="AC276" i="1"/>
  <c r="V276" i="1"/>
  <c r="AC275" i="1"/>
  <c r="V275" i="1"/>
  <c r="AC274" i="1"/>
  <c r="V274" i="1"/>
  <c r="AC273" i="1"/>
  <c r="V273" i="1"/>
  <c r="AC272" i="1"/>
  <c r="V272" i="1"/>
  <c r="AC271" i="1"/>
  <c r="V271" i="1"/>
  <c r="AC270" i="1"/>
  <c r="V270" i="1"/>
  <c r="AC269" i="1"/>
  <c r="AC268" i="1"/>
  <c r="AC267" i="1"/>
  <c r="AC266" i="1"/>
  <c r="AC265" i="1"/>
  <c r="AC264" i="1"/>
  <c r="AC263" i="1"/>
  <c r="AC262" i="1"/>
  <c r="AC261" i="1"/>
  <c r="AC260" i="1"/>
  <c r="AC259" i="1"/>
  <c r="AC258" i="1"/>
  <c r="AC257" i="1"/>
  <c r="AC256" i="1"/>
  <c r="AC255" i="1"/>
  <c r="AC254" i="1"/>
  <c r="AC253" i="1"/>
  <c r="AC252" i="1"/>
  <c r="AC251" i="1"/>
  <c r="AC250" i="1"/>
  <c r="AC249" i="1"/>
  <c r="AC248" i="1"/>
  <c r="AC247" i="1"/>
  <c r="AC246" i="1"/>
  <c r="AC245" i="1"/>
  <c r="AC244" i="1"/>
  <c r="AC224" i="1"/>
  <c r="AC223" i="1"/>
  <c r="AC222" i="1"/>
  <c r="AC221" i="1"/>
  <c r="AC220" i="1"/>
  <c r="AC219" i="1"/>
  <c r="C390" i="1"/>
  <c r="AG220" i="1" l="1"/>
  <c r="AI220" i="1"/>
  <c r="AL220" i="1" s="1"/>
  <c r="AK220" i="1"/>
  <c r="AG224" i="1"/>
  <c r="AI224" i="1"/>
  <c r="AL224" i="1" s="1"/>
  <c r="AK224" i="1"/>
  <c r="AG245" i="1"/>
  <c r="AI245" i="1"/>
  <c r="AL245" i="1" s="1"/>
  <c r="AK245" i="1"/>
  <c r="AH247" i="1"/>
  <c r="AJ247" i="1"/>
  <c r="AM247" i="1" s="1"/>
  <c r="AK247" i="1"/>
  <c r="AG249" i="1"/>
  <c r="AI249" i="1"/>
  <c r="AL249" i="1" s="1"/>
  <c r="AK249" i="1"/>
  <c r="AG251" i="1"/>
  <c r="AI251" i="1"/>
  <c r="AL251" i="1" s="1"/>
  <c r="AK251" i="1"/>
  <c r="AH253" i="1"/>
  <c r="AJ253" i="1"/>
  <c r="AM253" i="1" s="1"/>
  <c r="AK253" i="1"/>
  <c r="AG254" i="1"/>
  <c r="AI254" i="1"/>
  <c r="AL254" i="1" s="1"/>
  <c r="AK254" i="1"/>
  <c r="AG256" i="1"/>
  <c r="AI256" i="1"/>
  <c r="AL256" i="1" s="1"/>
  <c r="AK256" i="1"/>
  <c r="AK258" i="1"/>
  <c r="AH258" i="1"/>
  <c r="AJ258" i="1"/>
  <c r="AM258" i="1" s="1"/>
  <c r="AG260" i="1"/>
  <c r="AI260" i="1"/>
  <c r="AL260" i="1" s="1"/>
  <c r="AK260" i="1"/>
  <c r="AG262" i="1"/>
  <c r="AI262" i="1"/>
  <c r="AL262" i="1" s="1"/>
  <c r="AK262" i="1"/>
  <c r="AG263" i="1"/>
  <c r="AI263" i="1"/>
  <c r="AL263" i="1" s="1"/>
  <c r="AK263" i="1"/>
  <c r="AK265" i="1"/>
  <c r="AH265" i="1"/>
  <c r="AJ265" i="1"/>
  <c r="AM265" i="1" s="1"/>
  <c r="AH267" i="1"/>
  <c r="AJ267" i="1"/>
  <c r="AM267" i="1" s="1"/>
  <c r="AK267" i="1"/>
  <c r="AG269" i="1"/>
  <c r="AI269" i="1"/>
  <c r="AL269" i="1" s="1"/>
  <c r="AK269" i="1"/>
  <c r="AG271" i="1"/>
  <c r="AI271" i="1"/>
  <c r="AL271" i="1" s="1"/>
  <c r="AK271" i="1"/>
  <c r="AG272" i="1"/>
  <c r="AI272" i="1"/>
  <c r="AL272" i="1" s="1"/>
  <c r="AK272" i="1"/>
  <c r="AH274" i="1"/>
  <c r="AJ274" i="1"/>
  <c r="AM274" i="1" s="1"/>
  <c r="AK274" i="1"/>
  <c r="AG276" i="1"/>
  <c r="AI276" i="1"/>
  <c r="AL276" i="1" s="1"/>
  <c r="AK276" i="1"/>
  <c r="AG278" i="1"/>
  <c r="AI278" i="1"/>
  <c r="AL278" i="1" s="1"/>
  <c r="AK278" i="1"/>
  <c r="AG279" i="1"/>
  <c r="AI279" i="1"/>
  <c r="AL279" i="1" s="1"/>
  <c r="AK279" i="1"/>
  <c r="AK282" i="1"/>
  <c r="AH282" i="1"/>
  <c r="AJ282" i="1"/>
  <c r="AM282" i="1" s="1"/>
  <c r="AG219" i="1"/>
  <c r="AI219" i="1"/>
  <c r="AL219" i="1" s="1"/>
  <c r="AK219" i="1"/>
  <c r="AG221" i="1"/>
  <c r="AI221" i="1"/>
  <c r="AL221" i="1" s="1"/>
  <c r="AK221" i="1"/>
  <c r="AG223" i="1"/>
  <c r="AI223" i="1"/>
  <c r="AL223" i="1" s="1"/>
  <c r="AK223" i="1"/>
  <c r="AG281" i="1"/>
  <c r="AI281" i="1"/>
  <c r="AL281" i="1" s="1"/>
  <c r="AK281" i="1"/>
  <c r="AG222" i="1"/>
  <c r="AI222" i="1"/>
  <c r="AL222" i="1" s="1"/>
  <c r="AK222" i="1"/>
  <c r="AG244" i="1"/>
  <c r="AI244" i="1"/>
  <c r="AL244" i="1" s="1"/>
  <c r="AK244" i="1"/>
  <c r="AK246" i="1"/>
  <c r="AH246" i="1"/>
  <c r="AJ246" i="1"/>
  <c r="AM246" i="1" s="1"/>
  <c r="AG248" i="1"/>
  <c r="AI248" i="1"/>
  <c r="AL248" i="1" s="1"/>
  <c r="AK248" i="1"/>
  <c r="AG250" i="1"/>
  <c r="AI250" i="1"/>
  <c r="AL250" i="1" s="1"/>
  <c r="AK250" i="1"/>
  <c r="AG252" i="1"/>
  <c r="AI252" i="1"/>
  <c r="AL252" i="1" s="1"/>
  <c r="AK252" i="1"/>
  <c r="AG255" i="1"/>
  <c r="AI255" i="1"/>
  <c r="AL255" i="1" s="1"/>
  <c r="AK255" i="1"/>
  <c r="AK257" i="1"/>
  <c r="AH257" i="1"/>
  <c r="AJ257" i="1"/>
  <c r="AM257" i="1" s="1"/>
  <c r="AG259" i="1"/>
  <c r="AI259" i="1"/>
  <c r="AL259" i="1" s="1"/>
  <c r="AK259" i="1"/>
  <c r="AG261" i="1"/>
  <c r="AI261" i="1"/>
  <c r="AL261" i="1" s="1"/>
  <c r="AK261" i="1"/>
  <c r="AG264" i="1"/>
  <c r="AI264" i="1"/>
  <c r="AL264" i="1" s="1"/>
  <c r="AK264" i="1"/>
  <c r="AK266" i="1"/>
  <c r="AH266" i="1"/>
  <c r="AJ266" i="1"/>
  <c r="AM266" i="1" s="1"/>
  <c r="AG268" i="1"/>
  <c r="AI268" i="1"/>
  <c r="AL268" i="1" s="1"/>
  <c r="AK268" i="1"/>
  <c r="AG270" i="1"/>
  <c r="AI270" i="1"/>
  <c r="AL270" i="1" s="1"/>
  <c r="AK270" i="1"/>
  <c r="AH273" i="1"/>
  <c r="AJ273" i="1"/>
  <c r="AM273" i="1" s="1"/>
  <c r="AK273" i="1"/>
  <c r="AG275" i="1"/>
  <c r="AI275" i="1"/>
  <c r="AL275" i="1" s="1"/>
  <c r="AK275" i="1"/>
  <c r="AG277" i="1"/>
  <c r="AI277" i="1"/>
  <c r="AL277" i="1" s="1"/>
  <c r="AK277" i="1"/>
  <c r="AG280" i="1"/>
  <c r="AI280" i="1"/>
  <c r="AL280" i="1" s="1"/>
  <c r="AK280" i="1"/>
  <c r="V216" i="1"/>
  <c r="V215" i="1"/>
  <c r="AG216" i="1" l="1"/>
  <c r="AI216" i="1"/>
  <c r="AL216" i="1" s="1"/>
  <c r="AG218" i="1"/>
  <c r="AI218" i="1"/>
  <c r="AL218" i="1" s="1"/>
  <c r="AG215" i="1"/>
  <c r="AI215" i="1"/>
  <c r="AL215" i="1" s="1"/>
  <c r="AH217" i="1"/>
  <c r="AJ217" i="1"/>
  <c r="AM217" i="1" s="1"/>
  <c r="AC214" i="1"/>
  <c r="V214" i="1"/>
  <c r="AC213" i="1"/>
  <c r="V213" i="1"/>
  <c r="AC212" i="1"/>
  <c r="V212" i="1"/>
  <c r="AC211" i="1"/>
  <c r="V211" i="1"/>
  <c r="AC210" i="1"/>
  <c r="V210" i="1"/>
  <c r="AC209" i="1"/>
  <c r="AC208" i="1"/>
  <c r="V208" i="1"/>
  <c r="AC207" i="1"/>
  <c r="V207" i="1"/>
  <c r="AC206" i="1"/>
  <c r="V206" i="1"/>
  <c r="AC205" i="1"/>
  <c r="V205" i="1"/>
  <c r="AC204" i="1"/>
  <c r="V204" i="1"/>
  <c r="AC203" i="1"/>
  <c r="V203" i="1"/>
  <c r="AC202" i="1"/>
  <c r="AC201" i="1"/>
  <c r="V201" i="1"/>
  <c r="AC200" i="1"/>
  <c r="V200" i="1"/>
  <c r="AC199" i="1"/>
  <c r="V199" i="1"/>
  <c r="AC198" i="1"/>
  <c r="V198" i="1"/>
  <c r="AC197" i="1"/>
  <c r="V197" i="1"/>
  <c r="AC196" i="1"/>
  <c r="V196" i="1"/>
  <c r="AC195" i="1"/>
  <c r="V195" i="1"/>
  <c r="AC194" i="1"/>
  <c r="V194" i="1"/>
  <c r="AC193" i="1"/>
  <c r="V193" i="1"/>
  <c r="AC192" i="1"/>
  <c r="V192" i="1"/>
  <c r="AC191" i="1"/>
  <c r="V191" i="1"/>
  <c r="AC190" i="1"/>
  <c r="V190" i="1"/>
  <c r="AC189" i="1"/>
  <c r="V189" i="1"/>
  <c r="AC188" i="1"/>
  <c r="AC187" i="1"/>
  <c r="AC186" i="1"/>
  <c r="V186" i="1"/>
  <c r="AC185" i="1"/>
  <c r="V185" i="1"/>
  <c r="AC184" i="1"/>
  <c r="V184" i="1"/>
  <c r="AC183" i="1"/>
  <c r="V183" i="1"/>
  <c r="AC182" i="1"/>
  <c r="AC181" i="1"/>
  <c r="AC180" i="1"/>
  <c r="V180" i="1"/>
  <c r="AC179" i="1"/>
  <c r="V179" i="1"/>
  <c r="AC178" i="1"/>
  <c r="V178" i="1"/>
  <c r="AC177" i="1"/>
  <c r="V177" i="1"/>
  <c r="AC176" i="1"/>
  <c r="AC175" i="1"/>
  <c r="AC174" i="1"/>
  <c r="V174" i="1"/>
  <c r="AC173" i="1"/>
  <c r="V173" i="1"/>
  <c r="AC172" i="1"/>
  <c r="V172" i="1"/>
  <c r="AC171" i="1"/>
  <c r="V171" i="1"/>
  <c r="AC170" i="1"/>
  <c r="AC169" i="1"/>
  <c r="AG171" i="1" l="1"/>
  <c r="AI171" i="1"/>
  <c r="AL171" i="1" s="1"/>
  <c r="AK171" i="1"/>
  <c r="AG173" i="1"/>
  <c r="AI173" i="1"/>
  <c r="AL173" i="1" s="1"/>
  <c r="AK173" i="1"/>
  <c r="AG175" i="1"/>
  <c r="AI175" i="1"/>
  <c r="AL175" i="1" s="1"/>
  <c r="AK175" i="1"/>
  <c r="AG177" i="1"/>
  <c r="AI177" i="1"/>
  <c r="AL177" i="1" s="1"/>
  <c r="AK177" i="1"/>
  <c r="AG179" i="1"/>
  <c r="AI179" i="1"/>
  <c r="AL179" i="1" s="1"/>
  <c r="AK179" i="1"/>
  <c r="AG181" i="1"/>
  <c r="AI181" i="1"/>
  <c r="AL181" i="1" s="1"/>
  <c r="AK181" i="1"/>
  <c r="AG182" i="1"/>
  <c r="AI182" i="1"/>
  <c r="AL182" i="1" s="1"/>
  <c r="AK182" i="1"/>
  <c r="AG184" i="1"/>
  <c r="AI184" i="1"/>
  <c r="AL184" i="1" s="1"/>
  <c r="AK184" i="1"/>
  <c r="AG186" i="1"/>
  <c r="AI186" i="1"/>
  <c r="AL186" i="1" s="1"/>
  <c r="AK186" i="1"/>
  <c r="AG188" i="1"/>
  <c r="AI188" i="1"/>
  <c r="AL188" i="1" s="1"/>
  <c r="AK188" i="1"/>
  <c r="AH190" i="1"/>
  <c r="AJ190" i="1"/>
  <c r="AM190" i="1" s="1"/>
  <c r="AG190" i="1"/>
  <c r="AI190" i="1"/>
  <c r="AL190" i="1" s="1"/>
  <c r="AK190" i="1"/>
  <c r="AH192" i="1"/>
  <c r="AJ192" i="1"/>
  <c r="AM192" i="1" s="1"/>
  <c r="AG192" i="1"/>
  <c r="AI192" i="1"/>
  <c r="AL192" i="1" s="1"/>
  <c r="AK192" i="1"/>
  <c r="AH194" i="1"/>
  <c r="AJ194" i="1"/>
  <c r="AM194" i="1" s="1"/>
  <c r="AK194" i="1"/>
  <c r="AK197" i="1"/>
  <c r="AH197" i="1"/>
  <c r="AJ197" i="1"/>
  <c r="AM197" i="1" s="1"/>
  <c r="AG169" i="1"/>
  <c r="AI169" i="1"/>
  <c r="AL169" i="1" s="1"/>
  <c r="AK169" i="1"/>
  <c r="AG170" i="1"/>
  <c r="AI170" i="1"/>
  <c r="AL170" i="1" s="1"/>
  <c r="AK170" i="1"/>
  <c r="AG172" i="1"/>
  <c r="AI172" i="1"/>
  <c r="AL172" i="1" s="1"/>
  <c r="AK172" i="1"/>
  <c r="AG174" i="1"/>
  <c r="AI174" i="1"/>
  <c r="AL174" i="1" s="1"/>
  <c r="AK174" i="1"/>
  <c r="AG176" i="1"/>
  <c r="AI176" i="1"/>
  <c r="AL176" i="1" s="1"/>
  <c r="AK176" i="1"/>
  <c r="AG178" i="1"/>
  <c r="AI178" i="1"/>
  <c r="AL178" i="1" s="1"/>
  <c r="AK178" i="1"/>
  <c r="AG180" i="1"/>
  <c r="AI180" i="1"/>
  <c r="AL180" i="1" s="1"/>
  <c r="AK180" i="1"/>
  <c r="AG183" i="1"/>
  <c r="AI183" i="1"/>
  <c r="AL183" i="1" s="1"/>
  <c r="AK183" i="1"/>
  <c r="AG185" i="1"/>
  <c r="AI185" i="1"/>
  <c r="AL185" i="1" s="1"/>
  <c r="AK185" i="1"/>
  <c r="AJ185" i="1"/>
  <c r="AM185" i="1" s="1"/>
  <c r="AH185" i="1"/>
  <c r="AG187" i="1"/>
  <c r="AI187" i="1"/>
  <c r="AL187" i="1" s="1"/>
  <c r="AK187" i="1"/>
  <c r="AH189" i="1"/>
  <c r="AJ189" i="1"/>
  <c r="AM189" i="1" s="1"/>
  <c r="AG189" i="1"/>
  <c r="AI189" i="1"/>
  <c r="AL189" i="1" s="1"/>
  <c r="AK189" i="1"/>
  <c r="AH191" i="1"/>
  <c r="AJ191" i="1"/>
  <c r="AM191" i="1" s="1"/>
  <c r="AG191" i="1"/>
  <c r="AI191" i="1"/>
  <c r="AL191" i="1" s="1"/>
  <c r="AK191" i="1"/>
  <c r="AH193" i="1"/>
  <c r="AJ193" i="1"/>
  <c r="AM193" i="1" s="1"/>
  <c r="AG193" i="1"/>
  <c r="AI193" i="1"/>
  <c r="AL193" i="1" s="1"/>
  <c r="AK193" i="1"/>
  <c r="AG195" i="1"/>
  <c r="AI195" i="1"/>
  <c r="AL195" i="1" s="1"/>
  <c r="AK195" i="1"/>
  <c r="AH196" i="1"/>
  <c r="AJ196" i="1"/>
  <c r="AM196" i="1" s="1"/>
  <c r="AK196" i="1"/>
  <c r="AG198" i="1"/>
  <c r="AI198" i="1"/>
  <c r="AL198" i="1" s="1"/>
  <c r="AK198" i="1"/>
  <c r="AH198" i="1"/>
  <c r="AJ198" i="1"/>
  <c r="AM198" i="1" s="1"/>
  <c r="AG199" i="1"/>
  <c r="AI199" i="1"/>
  <c r="AL199" i="1" s="1"/>
  <c r="AK199" i="1"/>
  <c r="AH199" i="1"/>
  <c r="AJ199" i="1"/>
  <c r="AM199" i="1" s="1"/>
  <c r="AG200" i="1"/>
  <c r="AI200" i="1"/>
  <c r="AL200" i="1" s="1"/>
  <c r="AK200" i="1"/>
  <c r="AH200" i="1"/>
  <c r="AJ200" i="1"/>
  <c r="AM200" i="1" s="1"/>
  <c r="AG201" i="1"/>
  <c r="AI201" i="1"/>
  <c r="AL201" i="1" s="1"/>
  <c r="AK201" i="1"/>
  <c r="AH201" i="1"/>
  <c r="AJ201" i="1"/>
  <c r="AM201" i="1" s="1"/>
  <c r="AG202" i="1"/>
  <c r="AI202" i="1"/>
  <c r="AL202" i="1" s="1"/>
  <c r="AK202" i="1"/>
  <c r="AK203" i="1"/>
  <c r="AH203" i="1"/>
  <c r="AJ203" i="1"/>
  <c r="AM203" i="1" s="1"/>
  <c r="AK204" i="1"/>
  <c r="AH204" i="1"/>
  <c r="AJ204" i="1"/>
  <c r="AM204" i="1" s="1"/>
  <c r="AH205" i="1"/>
  <c r="AJ205" i="1"/>
  <c r="AM205" i="1" s="1"/>
  <c r="AK205" i="1"/>
  <c r="AH206" i="1"/>
  <c r="AJ206" i="1"/>
  <c r="AM206" i="1" s="1"/>
  <c r="AK206" i="1"/>
  <c r="AK207" i="1"/>
  <c r="AH207" i="1"/>
  <c r="AJ207" i="1"/>
  <c r="AM207" i="1" s="1"/>
  <c r="AK208" i="1"/>
  <c r="AH208" i="1"/>
  <c r="AJ208" i="1"/>
  <c r="AM208" i="1" s="1"/>
  <c r="AH209" i="1"/>
  <c r="AJ209" i="1"/>
  <c r="AM209" i="1" s="1"/>
  <c r="AK209" i="1"/>
  <c r="AG210" i="1"/>
  <c r="AI210" i="1"/>
  <c r="AL210" i="1" s="1"/>
  <c r="AK210" i="1"/>
  <c r="AG211" i="1"/>
  <c r="AI211" i="1"/>
  <c r="AL211" i="1" s="1"/>
  <c r="AK211" i="1"/>
  <c r="AK212" i="1"/>
  <c r="AH212" i="1"/>
  <c r="AJ212" i="1"/>
  <c r="AM212" i="1" s="1"/>
  <c r="AG213" i="1"/>
  <c r="AI213" i="1"/>
  <c r="AL213" i="1" s="1"/>
  <c r="AK213" i="1"/>
  <c r="AG214" i="1"/>
  <c r="AI214" i="1"/>
  <c r="AL214" i="1" s="1"/>
  <c r="AK214" i="1"/>
  <c r="AC168" i="1"/>
  <c r="AC167" i="1"/>
  <c r="AC166" i="1"/>
  <c r="AC165" i="1"/>
  <c r="AC164" i="1"/>
  <c r="AC163" i="1"/>
  <c r="AC162" i="1"/>
  <c r="AC161" i="1"/>
  <c r="AC160" i="1"/>
  <c r="AC159" i="1"/>
  <c r="AC158" i="1"/>
  <c r="AC157" i="1"/>
  <c r="AC156" i="1"/>
  <c r="AC155" i="1"/>
  <c r="AC154" i="1"/>
  <c r="AC153" i="1"/>
  <c r="AC152" i="1"/>
  <c r="AC151" i="1"/>
  <c r="AC150" i="1"/>
  <c r="AC149" i="1"/>
  <c r="AC148" i="1"/>
  <c r="AC147" i="1"/>
  <c r="V147" i="1"/>
  <c r="AC146" i="1"/>
  <c r="V146" i="1"/>
  <c r="AH147" i="1" l="1"/>
  <c r="AJ147" i="1"/>
  <c r="AM147" i="1" s="1"/>
  <c r="AK147" i="1"/>
  <c r="AG149" i="1"/>
  <c r="AI149" i="1"/>
  <c r="AL149" i="1" s="1"/>
  <c r="AK149" i="1"/>
  <c r="AG151" i="1"/>
  <c r="AI151" i="1"/>
  <c r="AL151" i="1" s="1"/>
  <c r="AK151" i="1"/>
  <c r="AG153" i="1"/>
  <c r="AI153" i="1"/>
  <c r="AL153" i="1" s="1"/>
  <c r="AK153" i="1"/>
  <c r="AG155" i="1"/>
  <c r="AI155" i="1"/>
  <c r="AL155" i="1" s="1"/>
  <c r="AK155" i="1"/>
  <c r="AG157" i="1"/>
  <c r="AI157" i="1"/>
  <c r="AL157" i="1" s="1"/>
  <c r="AK157" i="1"/>
  <c r="AG159" i="1"/>
  <c r="AI159" i="1"/>
  <c r="AL159" i="1" s="1"/>
  <c r="AK159" i="1"/>
  <c r="AG161" i="1"/>
  <c r="AI161" i="1"/>
  <c r="AL161" i="1" s="1"/>
  <c r="AK161" i="1"/>
  <c r="AG163" i="1"/>
  <c r="AI163" i="1"/>
  <c r="AL163" i="1" s="1"/>
  <c r="AK163" i="1"/>
  <c r="AG165" i="1"/>
  <c r="AI165" i="1"/>
  <c r="AL165" i="1" s="1"/>
  <c r="AK165" i="1"/>
  <c r="AG167" i="1"/>
  <c r="AI167" i="1"/>
  <c r="AL167" i="1" s="1"/>
  <c r="AK167" i="1"/>
  <c r="AK146" i="1"/>
  <c r="AH146" i="1"/>
  <c r="AJ146" i="1"/>
  <c r="AM146" i="1" s="1"/>
  <c r="AG148" i="1"/>
  <c r="AI148" i="1"/>
  <c r="AL148" i="1" s="1"/>
  <c r="AK148" i="1"/>
  <c r="AG150" i="1"/>
  <c r="AI150" i="1"/>
  <c r="AL150" i="1" s="1"/>
  <c r="AK150" i="1"/>
  <c r="AG152" i="1"/>
  <c r="AI152" i="1"/>
  <c r="AL152" i="1" s="1"/>
  <c r="AK152" i="1"/>
  <c r="AG154" i="1"/>
  <c r="AI154" i="1"/>
  <c r="AL154" i="1" s="1"/>
  <c r="AK154" i="1"/>
  <c r="AG156" i="1"/>
  <c r="AI156" i="1"/>
  <c r="AL156" i="1" s="1"/>
  <c r="AK156" i="1"/>
  <c r="AG158" i="1"/>
  <c r="AI158" i="1"/>
  <c r="AL158" i="1" s="1"/>
  <c r="AK158" i="1"/>
  <c r="AG160" i="1"/>
  <c r="AI160" i="1"/>
  <c r="AL160" i="1" s="1"/>
  <c r="AK160" i="1"/>
  <c r="AG162" i="1"/>
  <c r="AI162" i="1"/>
  <c r="AL162" i="1" s="1"/>
  <c r="AK162" i="1"/>
  <c r="AG164" i="1"/>
  <c r="AI164" i="1"/>
  <c r="AL164" i="1" s="1"/>
  <c r="AK164" i="1"/>
  <c r="AG166" i="1"/>
  <c r="AI166" i="1"/>
  <c r="AL166" i="1" s="1"/>
  <c r="AK166" i="1"/>
  <c r="AG168" i="1"/>
  <c r="AI168" i="1"/>
  <c r="AL168" i="1" s="1"/>
  <c r="AK168" i="1"/>
  <c r="AC145" i="1"/>
  <c r="AC144" i="1"/>
  <c r="AC143" i="1"/>
  <c r="V143" i="1"/>
  <c r="AC142" i="1"/>
  <c r="V142" i="1"/>
  <c r="AC141" i="1"/>
  <c r="AC140" i="1"/>
  <c r="AC139" i="1"/>
  <c r="AC138" i="1"/>
  <c r="AC137" i="1"/>
  <c r="V137" i="1"/>
  <c r="AC136" i="1"/>
  <c r="V136" i="1"/>
  <c r="AC135" i="1"/>
  <c r="V135" i="1"/>
  <c r="AC134" i="1"/>
  <c r="V134" i="1"/>
  <c r="AC133" i="1"/>
  <c r="V133" i="1"/>
  <c r="AC132" i="1"/>
  <c r="V132" i="1"/>
  <c r="AC131" i="1"/>
  <c r="V131" i="1"/>
  <c r="AC130" i="1"/>
  <c r="V130" i="1"/>
  <c r="AC129" i="1"/>
  <c r="V129" i="1"/>
  <c r="AC128" i="1"/>
  <c r="AC127" i="1"/>
  <c r="AG128" i="1" l="1"/>
  <c r="AI128" i="1"/>
  <c r="AL128" i="1" s="1"/>
  <c r="AK128" i="1"/>
  <c r="AK129" i="1"/>
  <c r="AH129" i="1"/>
  <c r="AJ129" i="1"/>
  <c r="AM129" i="1" s="1"/>
  <c r="AH130" i="1"/>
  <c r="AJ130" i="1"/>
  <c r="AM130" i="1" s="1"/>
  <c r="AK130" i="1"/>
  <c r="AH131" i="1"/>
  <c r="AJ131" i="1"/>
  <c r="AM131" i="1" s="1"/>
  <c r="AK131" i="1"/>
  <c r="AG132" i="1"/>
  <c r="AI132" i="1"/>
  <c r="AL132" i="1" s="1"/>
  <c r="AK132" i="1"/>
  <c r="AG133" i="1"/>
  <c r="AI133" i="1"/>
  <c r="AL133" i="1" s="1"/>
  <c r="AK133" i="1"/>
  <c r="AK134" i="1"/>
  <c r="AH134" i="1"/>
  <c r="AJ134" i="1"/>
  <c r="AM134" i="1" s="1"/>
  <c r="AH135" i="1"/>
  <c r="AJ135" i="1"/>
  <c r="AM135" i="1" s="1"/>
  <c r="AK135" i="1"/>
  <c r="AK136" i="1"/>
  <c r="AH136" i="1"/>
  <c r="AJ136" i="1"/>
  <c r="AM136" i="1" s="1"/>
  <c r="AH137" i="1"/>
  <c r="AJ137" i="1"/>
  <c r="AM137" i="1" s="1"/>
  <c r="AK137" i="1"/>
  <c r="AG138" i="1"/>
  <c r="AI138" i="1"/>
  <c r="AL138" i="1" s="1"/>
  <c r="AK138" i="1"/>
  <c r="AG139" i="1"/>
  <c r="AI139" i="1"/>
  <c r="AL139" i="1" s="1"/>
  <c r="AK139" i="1"/>
  <c r="AG140" i="1"/>
  <c r="AI140" i="1"/>
  <c r="AL140" i="1" s="1"/>
  <c r="AK140" i="1"/>
  <c r="AG141" i="1"/>
  <c r="AI141" i="1"/>
  <c r="AL141" i="1" s="1"/>
  <c r="AK141" i="1"/>
  <c r="AG142" i="1"/>
  <c r="AI142" i="1"/>
  <c r="AL142" i="1" s="1"/>
  <c r="AK142" i="1"/>
  <c r="AH142" i="1"/>
  <c r="AJ142" i="1"/>
  <c r="AM142" i="1" s="1"/>
  <c r="AG143" i="1"/>
  <c r="AI143" i="1"/>
  <c r="AL143" i="1" s="1"/>
  <c r="AK143" i="1"/>
  <c r="AG144" i="1"/>
  <c r="AI144" i="1"/>
  <c r="AL144" i="1" s="1"/>
  <c r="AK144" i="1"/>
  <c r="AG145" i="1"/>
  <c r="AI145" i="1"/>
  <c r="AL145" i="1" s="1"/>
  <c r="AK145" i="1"/>
  <c r="AK127" i="1"/>
  <c r="AH127" i="1"/>
  <c r="AJ127" i="1"/>
  <c r="AM127" i="1" s="1"/>
  <c r="AC126" i="1"/>
  <c r="V126" i="1"/>
  <c r="AC125" i="1"/>
  <c r="V125" i="1"/>
  <c r="AC124" i="1"/>
  <c r="V124" i="1"/>
  <c r="AC123" i="1"/>
  <c r="V123" i="1"/>
  <c r="AC122" i="1"/>
  <c r="V122" i="1"/>
  <c r="AC121" i="1"/>
  <c r="V121" i="1"/>
  <c r="AC120" i="1"/>
  <c r="V120" i="1"/>
  <c r="AC119" i="1"/>
  <c r="AC118" i="1"/>
  <c r="AC117" i="1"/>
  <c r="AC116" i="1"/>
  <c r="AC115" i="1"/>
  <c r="AC114" i="1"/>
  <c r="AC113" i="1"/>
  <c r="AC112" i="1"/>
  <c r="AC111" i="1"/>
  <c r="AC110" i="1"/>
  <c r="AC109" i="1"/>
  <c r="AC108" i="1"/>
  <c r="AC107" i="1"/>
  <c r="AC106" i="1"/>
  <c r="AC105" i="1"/>
  <c r="AC104" i="1"/>
  <c r="AC103" i="1"/>
  <c r="AC102" i="1"/>
  <c r="AC101" i="1"/>
  <c r="AC100" i="1"/>
  <c r="AC99" i="1"/>
  <c r="AC98" i="1"/>
  <c r="AC97" i="1"/>
  <c r="AC96" i="1"/>
  <c r="AC95" i="1"/>
  <c r="AC94" i="1"/>
  <c r="AC93" i="1"/>
  <c r="AC92" i="1"/>
  <c r="AC91" i="1"/>
  <c r="AC90" i="1"/>
  <c r="AC89" i="1"/>
  <c r="AC88" i="1"/>
  <c r="AC87" i="1"/>
  <c r="AC86" i="1"/>
  <c r="AC85" i="1"/>
  <c r="AC84" i="1"/>
  <c r="AC83" i="1"/>
  <c r="AC82" i="1"/>
  <c r="AC81" i="1"/>
  <c r="AC80" i="1"/>
  <c r="AC79" i="1"/>
  <c r="AC78" i="1"/>
  <c r="AC77" i="1"/>
  <c r="AC76" i="1"/>
  <c r="AC75" i="1"/>
  <c r="AC74" i="1"/>
  <c r="AC73" i="1"/>
  <c r="AC72" i="1"/>
  <c r="AC71" i="1"/>
  <c r="AC70" i="1"/>
  <c r="AC69" i="1"/>
  <c r="AC68" i="1"/>
  <c r="AC67" i="1"/>
  <c r="AC66" i="1"/>
  <c r="AC65" i="1"/>
  <c r="AC64" i="1"/>
  <c r="AC63" i="1"/>
  <c r="AC62" i="1"/>
  <c r="AC61" i="1"/>
  <c r="AC60" i="1"/>
  <c r="AG60" i="1" l="1"/>
  <c r="AI60" i="1"/>
  <c r="AL60" i="1" s="1"/>
  <c r="AK60" i="1"/>
  <c r="AG62" i="1"/>
  <c r="AI62" i="1"/>
  <c r="AL62" i="1" s="1"/>
  <c r="AK62" i="1"/>
  <c r="AG64" i="1"/>
  <c r="AI64" i="1"/>
  <c r="AL64" i="1" s="1"/>
  <c r="AK64" i="1"/>
  <c r="AG66" i="1"/>
  <c r="AI66" i="1"/>
  <c r="AL66" i="1" s="1"/>
  <c r="AK66" i="1"/>
  <c r="AG67" i="1"/>
  <c r="AI67" i="1"/>
  <c r="AL67" i="1" s="1"/>
  <c r="AK67" i="1"/>
  <c r="AK69" i="1"/>
  <c r="AH69" i="1"/>
  <c r="AJ69" i="1"/>
  <c r="AM69" i="1" s="1"/>
  <c r="AG71" i="1"/>
  <c r="AI71" i="1"/>
  <c r="AL71" i="1" s="1"/>
  <c r="AK71" i="1"/>
  <c r="AG72" i="1"/>
  <c r="AI72" i="1"/>
  <c r="AL72" i="1" s="1"/>
  <c r="AK72" i="1"/>
  <c r="AG73" i="1"/>
  <c r="AI73" i="1"/>
  <c r="AL73" i="1" s="1"/>
  <c r="AK73" i="1"/>
  <c r="AG74" i="1"/>
  <c r="AI74" i="1"/>
  <c r="AL74" i="1" s="1"/>
  <c r="AK74" i="1"/>
  <c r="AG75" i="1"/>
  <c r="AI75" i="1"/>
  <c r="AL75" i="1" s="1"/>
  <c r="AK75" i="1"/>
  <c r="AH76" i="1"/>
  <c r="AJ76" i="1"/>
  <c r="AM76" i="1" s="1"/>
  <c r="AK76" i="1"/>
  <c r="AK77" i="1"/>
  <c r="AH77" i="1"/>
  <c r="AJ77" i="1"/>
  <c r="AM77" i="1" s="1"/>
  <c r="AH78" i="1"/>
  <c r="AJ78" i="1"/>
  <c r="AM78" i="1" s="1"/>
  <c r="AK78" i="1"/>
  <c r="AG79" i="1"/>
  <c r="AI79" i="1"/>
  <c r="AL79" i="1" s="1"/>
  <c r="AK79" i="1"/>
  <c r="AG80" i="1"/>
  <c r="AI80" i="1"/>
  <c r="AL80" i="1" s="1"/>
  <c r="AK80" i="1"/>
  <c r="AG81" i="1"/>
  <c r="AI81" i="1"/>
  <c r="AL81" i="1" s="1"/>
  <c r="AK81" i="1"/>
  <c r="AH82" i="1"/>
  <c r="AJ82" i="1"/>
  <c r="AM82" i="1" s="1"/>
  <c r="AK82" i="1"/>
  <c r="AG83" i="1"/>
  <c r="AI83" i="1"/>
  <c r="AL83" i="1" s="1"/>
  <c r="AK83" i="1"/>
  <c r="AG84" i="1"/>
  <c r="AI84" i="1"/>
  <c r="AL84" i="1" s="1"/>
  <c r="AK84" i="1"/>
  <c r="AG85" i="1"/>
  <c r="AI85" i="1"/>
  <c r="AL85" i="1" s="1"/>
  <c r="AK85" i="1"/>
  <c r="AG86" i="1"/>
  <c r="AI86" i="1"/>
  <c r="AL86" i="1" s="1"/>
  <c r="AK86" i="1"/>
  <c r="AG87" i="1"/>
  <c r="AI87" i="1"/>
  <c r="AL87" i="1" s="1"/>
  <c r="AK87" i="1"/>
  <c r="AG88" i="1"/>
  <c r="AI88" i="1"/>
  <c r="AL88" i="1" s="1"/>
  <c r="AK88" i="1"/>
  <c r="AG89" i="1"/>
  <c r="AI89" i="1"/>
  <c r="AL89" i="1" s="1"/>
  <c r="AK89" i="1"/>
  <c r="AG90" i="1"/>
  <c r="AI90" i="1"/>
  <c r="AL90" i="1" s="1"/>
  <c r="AK90" i="1"/>
  <c r="AG91" i="1"/>
  <c r="AI91" i="1"/>
  <c r="AL91" i="1" s="1"/>
  <c r="AK91" i="1"/>
  <c r="AG92" i="1"/>
  <c r="AI92" i="1"/>
  <c r="AL92" i="1" s="1"/>
  <c r="AK92" i="1"/>
  <c r="AK93" i="1"/>
  <c r="AH93" i="1"/>
  <c r="AJ93" i="1"/>
  <c r="AM93" i="1" s="1"/>
  <c r="AG94" i="1"/>
  <c r="AI94" i="1"/>
  <c r="AL94" i="1" s="1"/>
  <c r="AK94" i="1"/>
  <c r="AG95" i="1"/>
  <c r="AI95" i="1"/>
  <c r="AL95" i="1" s="1"/>
  <c r="AK95" i="1"/>
  <c r="AG96" i="1"/>
  <c r="AI96" i="1"/>
  <c r="AL96" i="1" s="1"/>
  <c r="AK96" i="1"/>
  <c r="AG97" i="1"/>
  <c r="AI97" i="1"/>
  <c r="AL97" i="1" s="1"/>
  <c r="AK97" i="1"/>
  <c r="AG98" i="1"/>
  <c r="AI98" i="1"/>
  <c r="AL98" i="1" s="1"/>
  <c r="AK98" i="1"/>
  <c r="AG99" i="1"/>
  <c r="AI99" i="1"/>
  <c r="AL99" i="1" s="1"/>
  <c r="AK99" i="1"/>
  <c r="AG100" i="1"/>
  <c r="AI100" i="1"/>
  <c r="AL100" i="1" s="1"/>
  <c r="AK100" i="1"/>
  <c r="AH101" i="1"/>
  <c r="AJ101" i="1"/>
  <c r="AM101" i="1" s="1"/>
  <c r="AK101" i="1"/>
  <c r="AG102" i="1"/>
  <c r="AI102" i="1"/>
  <c r="AL102" i="1" s="1"/>
  <c r="AK102" i="1"/>
  <c r="AG103" i="1"/>
  <c r="AI103" i="1"/>
  <c r="AL103" i="1" s="1"/>
  <c r="AK103" i="1"/>
  <c r="AG104" i="1"/>
  <c r="AI104" i="1"/>
  <c r="AL104" i="1" s="1"/>
  <c r="AK104" i="1"/>
  <c r="AG105" i="1"/>
  <c r="AI105" i="1"/>
  <c r="AL105" i="1" s="1"/>
  <c r="AK105" i="1"/>
  <c r="AG106" i="1"/>
  <c r="AI106" i="1"/>
  <c r="AL106" i="1" s="1"/>
  <c r="AK106" i="1"/>
  <c r="AG107" i="1"/>
  <c r="AI107" i="1"/>
  <c r="AL107" i="1" s="1"/>
  <c r="AK107" i="1"/>
  <c r="AG108" i="1"/>
  <c r="AI108" i="1"/>
  <c r="AL108" i="1" s="1"/>
  <c r="AK108" i="1"/>
  <c r="AG109" i="1"/>
  <c r="AI109" i="1"/>
  <c r="AL109" i="1" s="1"/>
  <c r="AK109" i="1"/>
  <c r="AG110" i="1"/>
  <c r="AI110" i="1"/>
  <c r="AL110" i="1" s="1"/>
  <c r="AK110" i="1"/>
  <c r="AG111" i="1"/>
  <c r="AI111" i="1"/>
  <c r="AL111" i="1" s="1"/>
  <c r="AK111" i="1"/>
  <c r="AH112" i="1"/>
  <c r="AJ112" i="1"/>
  <c r="AM112" i="1" s="1"/>
  <c r="AK112" i="1"/>
  <c r="AG113" i="1"/>
  <c r="AI113" i="1"/>
  <c r="AL113" i="1" s="1"/>
  <c r="AK113" i="1"/>
  <c r="AG114" i="1"/>
  <c r="AI114" i="1"/>
  <c r="AL114" i="1" s="1"/>
  <c r="AK114" i="1"/>
  <c r="AG115" i="1"/>
  <c r="AI115" i="1"/>
  <c r="AL115" i="1" s="1"/>
  <c r="AK115" i="1"/>
  <c r="AG116" i="1"/>
  <c r="AI116" i="1"/>
  <c r="AL116" i="1" s="1"/>
  <c r="AK116" i="1"/>
  <c r="AH117" i="1"/>
  <c r="AJ117" i="1"/>
  <c r="AM117" i="1" s="1"/>
  <c r="AK117" i="1"/>
  <c r="AK118" i="1"/>
  <c r="AH118" i="1"/>
  <c r="AJ118" i="1"/>
  <c r="AM118" i="1" s="1"/>
  <c r="AK119" i="1"/>
  <c r="AH119" i="1"/>
  <c r="AJ119" i="1"/>
  <c r="AM119" i="1" s="1"/>
  <c r="AG120" i="1"/>
  <c r="AI120" i="1"/>
  <c r="AL120" i="1" s="1"/>
  <c r="AK120" i="1"/>
  <c r="AG121" i="1"/>
  <c r="AI121" i="1"/>
  <c r="AL121" i="1" s="1"/>
  <c r="AK121" i="1"/>
  <c r="AG122" i="1"/>
  <c r="AI122" i="1"/>
  <c r="AL122" i="1" s="1"/>
  <c r="AK122" i="1"/>
  <c r="AG123" i="1"/>
  <c r="AI123" i="1"/>
  <c r="AL123" i="1" s="1"/>
  <c r="AK123" i="1"/>
  <c r="AG124" i="1"/>
  <c r="AI124" i="1"/>
  <c r="AL124" i="1" s="1"/>
  <c r="AK124" i="1"/>
  <c r="AG125" i="1"/>
  <c r="AI125" i="1"/>
  <c r="AL125" i="1" s="1"/>
  <c r="AK125" i="1"/>
  <c r="AG126" i="1"/>
  <c r="AI126" i="1"/>
  <c r="AL126" i="1" s="1"/>
  <c r="AK126" i="1"/>
  <c r="AG61" i="1"/>
  <c r="AI61" i="1"/>
  <c r="AL61" i="1" s="1"/>
  <c r="AK61" i="1"/>
  <c r="AG63" i="1"/>
  <c r="AI63" i="1"/>
  <c r="AL63" i="1" s="1"/>
  <c r="AK63" i="1"/>
  <c r="AH65" i="1"/>
  <c r="AJ65" i="1"/>
  <c r="AM65" i="1" s="1"/>
  <c r="AK65" i="1"/>
  <c r="AH68" i="1"/>
  <c r="AJ68" i="1"/>
  <c r="AM68" i="1" s="1"/>
  <c r="AK68" i="1"/>
  <c r="AG70" i="1"/>
  <c r="AI70" i="1"/>
  <c r="AL70" i="1" s="1"/>
  <c r="AK70" i="1"/>
  <c r="AC59" i="1"/>
  <c r="AC58" i="1"/>
  <c r="V58" i="1"/>
  <c r="AC57" i="1"/>
  <c r="V57" i="1"/>
  <c r="AC56" i="1"/>
  <c r="V56" i="1"/>
  <c r="AC55" i="1"/>
  <c r="V55" i="1"/>
  <c r="AC54" i="1"/>
  <c r="V54" i="1"/>
  <c r="AC53" i="1"/>
  <c r="V53" i="1"/>
  <c r="AC52" i="1"/>
  <c r="V52" i="1"/>
  <c r="AC51" i="1"/>
  <c r="V51" i="1"/>
  <c r="AC50" i="1"/>
  <c r="V50" i="1"/>
  <c r="AC49" i="1"/>
  <c r="AC48" i="1"/>
  <c r="AC47" i="1"/>
  <c r="V47" i="1"/>
  <c r="AC46" i="1"/>
  <c r="AC45" i="1"/>
  <c r="AC44" i="1"/>
  <c r="V44" i="1"/>
  <c r="AC43" i="1"/>
  <c r="V43" i="1"/>
  <c r="AC42" i="1"/>
  <c r="V42" i="1"/>
  <c r="AC41" i="1"/>
  <c r="V41" i="1"/>
  <c r="AC40" i="1"/>
  <c r="V40" i="1"/>
  <c r="AC39" i="1"/>
  <c r="V39" i="1"/>
  <c r="AC38" i="1"/>
  <c r="V38" i="1"/>
  <c r="AC37" i="1"/>
  <c r="V37" i="1"/>
  <c r="AC36" i="1"/>
  <c r="V36" i="1"/>
  <c r="AC35" i="1"/>
  <c r="V35" i="1"/>
  <c r="AC34" i="1"/>
  <c r="V34" i="1"/>
  <c r="AC33" i="1"/>
  <c r="V33" i="1"/>
  <c r="AC32" i="1"/>
  <c r="AC31" i="1"/>
  <c r="AC30" i="1"/>
  <c r="V30" i="1"/>
  <c r="AC29" i="1"/>
  <c r="V29" i="1"/>
  <c r="AC28" i="1"/>
  <c r="V28" i="1"/>
  <c r="AC27" i="1"/>
  <c r="V27" i="1"/>
  <c r="AC26" i="1"/>
  <c r="V26" i="1"/>
  <c r="AC25" i="1"/>
  <c r="AC24" i="1"/>
  <c r="AC23" i="1"/>
  <c r="AC22" i="1"/>
  <c r="AC21" i="1"/>
  <c r="AC20" i="1"/>
  <c r="AC19" i="1"/>
  <c r="AC18" i="1"/>
  <c r="AC17" i="1"/>
  <c r="AC16" i="1"/>
  <c r="AC15" i="1"/>
  <c r="AC14" i="1"/>
  <c r="V14" i="1"/>
  <c r="AC13" i="1"/>
  <c r="V13" i="1"/>
  <c r="AC12" i="1"/>
  <c r="V12" i="1"/>
  <c r="AC11" i="1"/>
  <c r="V11" i="1"/>
  <c r="AH12" i="1" l="1"/>
  <c r="AJ12" i="1"/>
  <c r="AM12" i="1" s="1"/>
  <c r="AK12" i="1"/>
  <c r="AK14" i="1"/>
  <c r="AH14" i="1"/>
  <c r="AJ14" i="1"/>
  <c r="AM14" i="1" s="1"/>
  <c r="AG16" i="1"/>
  <c r="AI16" i="1"/>
  <c r="AL16" i="1" s="1"/>
  <c r="AK16" i="1"/>
  <c r="AH18" i="1"/>
  <c r="AJ18" i="1"/>
  <c r="AM18" i="1" s="1"/>
  <c r="AK18" i="1"/>
  <c r="AG20" i="1"/>
  <c r="AI20" i="1"/>
  <c r="AL20" i="1" s="1"/>
  <c r="AK20" i="1"/>
  <c r="AG21" i="1"/>
  <c r="AI21" i="1"/>
  <c r="AL21" i="1" s="1"/>
  <c r="AK21" i="1"/>
  <c r="AG22" i="1"/>
  <c r="AI22" i="1"/>
  <c r="AL22" i="1" s="1"/>
  <c r="AK22" i="1"/>
  <c r="AG23" i="1"/>
  <c r="AI23" i="1"/>
  <c r="AL23" i="1" s="1"/>
  <c r="AK23" i="1"/>
  <c r="AG24" i="1"/>
  <c r="AI24" i="1"/>
  <c r="AL24" i="1" s="1"/>
  <c r="AK24" i="1"/>
  <c r="AG25" i="1"/>
  <c r="AI25" i="1"/>
  <c r="AL25" i="1" s="1"/>
  <c r="AK25" i="1"/>
  <c r="AK26" i="1"/>
  <c r="AH26" i="1"/>
  <c r="AJ26" i="1"/>
  <c r="AM26" i="1" s="1"/>
  <c r="AG27" i="1"/>
  <c r="AI27" i="1"/>
  <c r="AL27" i="1" s="1"/>
  <c r="AK27" i="1"/>
  <c r="AG28" i="1"/>
  <c r="AI28" i="1"/>
  <c r="AL28" i="1" s="1"/>
  <c r="AK28" i="1"/>
  <c r="AG29" i="1"/>
  <c r="AI29" i="1"/>
  <c r="AL29" i="1" s="1"/>
  <c r="AK29" i="1"/>
  <c r="AG30" i="1"/>
  <c r="AI30" i="1"/>
  <c r="AL30" i="1" s="1"/>
  <c r="AK30" i="1"/>
  <c r="AG31" i="1"/>
  <c r="AI31" i="1"/>
  <c r="AL31" i="1" s="1"/>
  <c r="AK31" i="1"/>
  <c r="AG32" i="1"/>
  <c r="AI32" i="1"/>
  <c r="AL32" i="1" s="1"/>
  <c r="AK32" i="1"/>
  <c r="AH33" i="1"/>
  <c r="AJ33" i="1"/>
  <c r="AM33" i="1" s="1"/>
  <c r="AK33" i="1"/>
  <c r="AH34" i="1"/>
  <c r="AJ34" i="1"/>
  <c r="AM34" i="1" s="1"/>
  <c r="AK34" i="1"/>
  <c r="AK35" i="1"/>
  <c r="AH35" i="1"/>
  <c r="AJ35" i="1"/>
  <c r="AM35" i="1" s="1"/>
  <c r="AK36" i="1"/>
  <c r="AH36" i="1"/>
  <c r="AJ36" i="1"/>
  <c r="AM36" i="1" s="1"/>
  <c r="AH37" i="1"/>
  <c r="AJ37" i="1"/>
  <c r="AM37" i="1" s="1"/>
  <c r="AK37" i="1"/>
  <c r="AH38" i="1"/>
  <c r="AJ38" i="1"/>
  <c r="AM38" i="1" s="1"/>
  <c r="AK38" i="1"/>
  <c r="AK39" i="1"/>
  <c r="AH39" i="1"/>
  <c r="AJ39" i="1"/>
  <c r="AM39" i="1" s="1"/>
  <c r="AK40" i="1"/>
  <c r="AH40" i="1"/>
  <c r="AJ40" i="1"/>
  <c r="AM40" i="1" s="1"/>
  <c r="AH41" i="1"/>
  <c r="AJ41" i="1"/>
  <c r="AM41" i="1" s="1"/>
  <c r="AK41" i="1"/>
  <c r="AH42" i="1"/>
  <c r="AJ42" i="1"/>
  <c r="AM42" i="1" s="1"/>
  <c r="AK42" i="1"/>
  <c r="AK43" i="1"/>
  <c r="AH43" i="1"/>
  <c r="AJ43" i="1"/>
  <c r="AM43" i="1" s="1"/>
  <c r="AG44" i="1"/>
  <c r="AI44" i="1"/>
  <c r="AL44" i="1" s="1"/>
  <c r="AK44" i="1"/>
  <c r="AG45" i="1"/>
  <c r="AI45" i="1"/>
  <c r="AL45" i="1" s="1"/>
  <c r="AK45" i="1"/>
  <c r="AG46" i="1"/>
  <c r="AI46" i="1"/>
  <c r="AL46" i="1" s="1"/>
  <c r="AK46" i="1"/>
  <c r="AH47" i="1"/>
  <c r="AJ47" i="1"/>
  <c r="AM47" i="1" s="1"/>
  <c r="AK47" i="1"/>
  <c r="AG48" i="1"/>
  <c r="AI48" i="1"/>
  <c r="AL48" i="1" s="1"/>
  <c r="AK48" i="1"/>
  <c r="AG49" i="1"/>
  <c r="AI49" i="1"/>
  <c r="AL49" i="1" s="1"/>
  <c r="AK49" i="1"/>
  <c r="AG50" i="1"/>
  <c r="AI50" i="1"/>
  <c r="AL50" i="1" s="1"/>
  <c r="AK50" i="1"/>
  <c r="AG51" i="1"/>
  <c r="AI51" i="1"/>
  <c r="AL51" i="1" s="1"/>
  <c r="AK51" i="1"/>
  <c r="AG52" i="1"/>
  <c r="AI52" i="1"/>
  <c r="AL52" i="1" s="1"/>
  <c r="AK52" i="1"/>
  <c r="AH53" i="1"/>
  <c r="AJ53" i="1"/>
  <c r="AM53" i="1" s="1"/>
  <c r="AK53" i="1"/>
  <c r="AG54" i="1"/>
  <c r="AI54" i="1"/>
  <c r="AL54" i="1" s="1"/>
  <c r="AK54" i="1"/>
  <c r="AG55" i="1"/>
  <c r="AI55" i="1"/>
  <c r="AL55" i="1" s="1"/>
  <c r="AK55" i="1"/>
  <c r="AG56" i="1"/>
  <c r="AI56" i="1"/>
  <c r="AL56" i="1" s="1"/>
  <c r="AK56" i="1"/>
  <c r="AG57" i="1"/>
  <c r="AI57" i="1"/>
  <c r="AL57" i="1" s="1"/>
  <c r="AK57" i="1"/>
  <c r="AG58" i="1"/>
  <c r="AI58" i="1"/>
  <c r="AL58" i="1" s="1"/>
  <c r="AK58" i="1"/>
  <c r="AG59" i="1"/>
  <c r="AI59" i="1"/>
  <c r="AL59" i="1" s="1"/>
  <c r="AK59" i="1"/>
  <c r="AG11" i="1"/>
  <c r="AI11" i="1"/>
  <c r="AL11" i="1" s="1"/>
  <c r="AK11" i="1"/>
  <c r="AK13" i="1"/>
  <c r="AH13" i="1"/>
  <c r="AJ13" i="1"/>
  <c r="AM13" i="1" s="1"/>
  <c r="AG15" i="1"/>
  <c r="AI15" i="1"/>
  <c r="AL15" i="1" s="1"/>
  <c r="AK15" i="1"/>
  <c r="AH17" i="1"/>
  <c r="AJ17" i="1"/>
  <c r="AM17" i="1" s="1"/>
  <c r="AK17" i="1"/>
  <c r="AG19" i="1"/>
  <c r="AI19" i="1"/>
  <c r="AL19" i="1" s="1"/>
  <c r="AK19" i="1"/>
  <c r="AF388" i="1"/>
  <c r="AG388" i="1" l="1"/>
  <c r="AM388" i="1"/>
  <c r="AK388" i="1"/>
  <c r="AH388" i="1"/>
  <c r="AL388" i="1"/>
  <c r="AE389" i="1" s="1"/>
  <c r="AI388" i="1"/>
  <c r="AJ388" i="1"/>
  <c r="AH10" i="1"/>
  <c r="AJ10" i="1"/>
  <c r="AM10" i="1"/>
  <c r="AE390" i="1" l="1"/>
  <c r="AG469" i="1"/>
  <c r="AG465" i="1"/>
  <c r="AG456" i="1"/>
  <c r="AG455" i="1"/>
  <c r="AG395" i="1"/>
  <c r="AH460" i="1" l="1"/>
  <c r="AI460" i="1"/>
  <c r="AJ460" i="1"/>
  <c r="AK460" i="1"/>
  <c r="AL460" i="1"/>
  <c r="AM460" i="1"/>
  <c r="AG460" i="1"/>
  <c r="AG429" i="1"/>
  <c r="AH433" i="1"/>
  <c r="AJ433" i="1"/>
  <c r="AM433" i="1"/>
  <c r="AH480" i="1" l="1"/>
  <c r="AI480" i="1"/>
  <c r="AJ480" i="1"/>
  <c r="AK480" i="1"/>
  <c r="AL480" i="1"/>
  <c r="AM480" i="1"/>
  <c r="AG480" i="1"/>
  <c r="AH469" i="1"/>
  <c r="AI469" i="1"/>
  <c r="AJ469" i="1"/>
  <c r="AK469" i="1"/>
  <c r="AL469" i="1"/>
  <c r="AM469" i="1"/>
  <c r="AE403" i="1" l="1"/>
  <c r="AF403" i="1"/>
  <c r="AE404" i="1"/>
  <c r="AF404" i="1"/>
  <c r="AE405" i="1"/>
  <c r="AF405" i="1"/>
  <c r="AK485" i="1"/>
  <c r="AM477" i="1"/>
  <c r="AL477" i="1"/>
  <c r="AK477" i="1"/>
  <c r="AJ477" i="1"/>
  <c r="AI477" i="1"/>
  <c r="AH477" i="1"/>
  <c r="AG477" i="1"/>
  <c r="AM438" i="1"/>
  <c r="AL438" i="1"/>
  <c r="AK438" i="1"/>
  <c r="AJ438" i="1"/>
  <c r="AI438" i="1"/>
  <c r="AH438" i="1"/>
  <c r="AG438" i="1"/>
  <c r="AG514" i="1"/>
  <c r="AM444" i="1"/>
  <c r="AM514" i="1"/>
  <c r="AM441" i="1"/>
  <c r="AM482" i="1"/>
  <c r="AM512" i="1"/>
  <c r="AH494" i="1"/>
  <c r="AM467" i="1"/>
  <c r="AK405" i="1"/>
  <c r="AH405" i="1"/>
  <c r="AG404" i="1"/>
  <c r="AL404" i="1"/>
  <c r="AH404" i="1"/>
  <c r="AG405" i="1"/>
  <c r="AK403" i="1"/>
  <c r="AG403" i="1"/>
  <c r="AK495" i="1"/>
  <c r="AL495" i="1"/>
  <c r="AK464" i="1"/>
  <c r="AI404" i="1"/>
  <c r="AJ404" i="1"/>
  <c r="AK404" i="1"/>
  <c r="AM404" i="1"/>
  <c r="AM393" i="1"/>
  <c r="AM394" i="1"/>
  <c r="AM395" i="1"/>
  <c r="AM396" i="1"/>
  <c r="AM397" i="1"/>
  <c r="AM398" i="1"/>
  <c r="AM399" i="1"/>
  <c r="AM400" i="1"/>
  <c r="AM401" i="1"/>
  <c r="AM402" i="1"/>
  <c r="AM406" i="1"/>
  <c r="AM407" i="1"/>
  <c r="AM408" i="1"/>
  <c r="AM409" i="1"/>
  <c r="AM410" i="1"/>
  <c r="AM411" i="1"/>
  <c r="AM412" i="1"/>
  <c r="AM413" i="1"/>
  <c r="AM414" i="1"/>
  <c r="AM415" i="1"/>
  <c r="AM416" i="1"/>
  <c r="AM417" i="1"/>
  <c r="AM418" i="1"/>
  <c r="AM419" i="1"/>
  <c r="AM420" i="1"/>
  <c r="AM421" i="1"/>
  <c r="AM422" i="1"/>
  <c r="AM423" i="1"/>
  <c r="AM424" i="1"/>
  <c r="AM425" i="1"/>
  <c r="AM426" i="1"/>
  <c r="AM427" i="1"/>
  <c r="AM428" i="1"/>
  <c r="AM429" i="1"/>
  <c r="AM434" i="1"/>
  <c r="AM435" i="1"/>
  <c r="AM436" i="1"/>
  <c r="AM437" i="1"/>
  <c r="AM439" i="1"/>
  <c r="AM440" i="1"/>
  <c r="AM442" i="1"/>
  <c r="AM443" i="1"/>
  <c r="AM445" i="1"/>
  <c r="AM446" i="1"/>
  <c r="AM447" i="1"/>
  <c r="AM448" i="1"/>
  <c r="AM449" i="1"/>
  <c r="AM451" i="1"/>
  <c r="AM452" i="1"/>
  <c r="AM453" i="1"/>
  <c r="AM454" i="1"/>
  <c r="AM455" i="1"/>
  <c r="AM456" i="1"/>
  <c r="AM457" i="1"/>
  <c r="AM458" i="1"/>
  <c r="AM459" i="1"/>
  <c r="AM461" i="1"/>
  <c r="AM462" i="1"/>
  <c r="AM465" i="1"/>
  <c r="AM468" i="1"/>
  <c r="AM470" i="1"/>
  <c r="AM471" i="1"/>
  <c r="AM472" i="1"/>
  <c r="AM473" i="1"/>
  <c r="AM474" i="1"/>
  <c r="AM475" i="1"/>
  <c r="AM476" i="1"/>
  <c r="AM478" i="1"/>
  <c r="AM479" i="1"/>
  <c r="AM481" i="1"/>
  <c r="AM483" i="1"/>
  <c r="AM484" i="1"/>
  <c r="AM485" i="1"/>
  <c r="AM486" i="1"/>
  <c r="AM487" i="1"/>
  <c r="AM488" i="1"/>
  <c r="AM489" i="1"/>
  <c r="AM490" i="1"/>
  <c r="AM491" i="1"/>
  <c r="AM492" i="1"/>
  <c r="AM493" i="1"/>
  <c r="AM495" i="1"/>
  <c r="AM496" i="1"/>
  <c r="AM497" i="1"/>
  <c r="AM498" i="1"/>
  <c r="AM499" i="1"/>
  <c r="AM500" i="1"/>
  <c r="AM501" i="1"/>
  <c r="AM502" i="1"/>
  <c r="AM503" i="1"/>
  <c r="AM504" i="1"/>
  <c r="AM505" i="1"/>
  <c r="AM506" i="1"/>
  <c r="AM507" i="1"/>
  <c r="AM508" i="1"/>
  <c r="AM509" i="1"/>
  <c r="AM510" i="1"/>
  <c r="AM511" i="1"/>
  <c r="AM513" i="1"/>
  <c r="AM515" i="1"/>
  <c r="AM516" i="1"/>
  <c r="AM517" i="1"/>
  <c r="AM518" i="1"/>
  <c r="AM519" i="1"/>
  <c r="AM520" i="1"/>
  <c r="AM521" i="1"/>
  <c r="AM522" i="1"/>
  <c r="AM523" i="1"/>
  <c r="AM524" i="1"/>
  <c r="AM525" i="1"/>
  <c r="AH437" i="1"/>
  <c r="AI437" i="1"/>
  <c r="AJ437" i="1"/>
  <c r="AK437" i="1"/>
  <c r="AL437" i="1"/>
  <c r="AG437" i="1"/>
  <c r="AH429" i="1"/>
  <c r="AI429" i="1"/>
  <c r="AJ429" i="1"/>
  <c r="AK429" i="1"/>
  <c r="AL429" i="1"/>
  <c r="AH434" i="1"/>
  <c r="AI434" i="1"/>
  <c r="AJ434" i="1"/>
  <c r="AK434" i="1"/>
  <c r="AL434" i="1"/>
  <c r="AH435" i="1"/>
  <c r="AI435" i="1"/>
  <c r="AJ435" i="1"/>
  <c r="AK435" i="1"/>
  <c r="AL435" i="1"/>
  <c r="AH436" i="1"/>
  <c r="AI436" i="1"/>
  <c r="AJ436" i="1"/>
  <c r="AK436" i="1"/>
  <c r="AL436" i="1"/>
  <c r="AH439" i="1"/>
  <c r="AI439" i="1"/>
  <c r="AJ439" i="1"/>
  <c r="AK439" i="1"/>
  <c r="AL439" i="1"/>
  <c r="AH440" i="1"/>
  <c r="AI440" i="1"/>
  <c r="AJ440" i="1"/>
  <c r="AK440" i="1"/>
  <c r="AL440" i="1"/>
  <c r="AG439" i="1"/>
  <c r="AG436" i="1"/>
  <c r="AG435" i="1"/>
  <c r="AG434" i="1"/>
  <c r="AH518" i="1"/>
  <c r="AI518" i="1"/>
  <c r="AJ518" i="1"/>
  <c r="AK518" i="1"/>
  <c r="AL518" i="1"/>
  <c r="AH519" i="1"/>
  <c r="AI519" i="1"/>
  <c r="AJ519" i="1"/>
  <c r="AK519" i="1"/>
  <c r="AL519" i="1"/>
  <c r="AH520" i="1"/>
  <c r="AI520" i="1"/>
  <c r="AJ520" i="1"/>
  <c r="AK520" i="1"/>
  <c r="AL520" i="1"/>
  <c r="AH521" i="1"/>
  <c r="AI521" i="1"/>
  <c r="AJ521" i="1"/>
  <c r="AK521" i="1"/>
  <c r="AL521" i="1"/>
  <c r="AH419" i="1"/>
  <c r="AI419" i="1"/>
  <c r="AJ419" i="1"/>
  <c r="AK419" i="1"/>
  <c r="AL419" i="1"/>
  <c r="AH420" i="1"/>
  <c r="AI420" i="1"/>
  <c r="AJ420" i="1"/>
  <c r="AK420" i="1"/>
  <c r="AL420" i="1"/>
  <c r="AH421" i="1"/>
  <c r="AI421" i="1"/>
  <c r="AJ421" i="1"/>
  <c r="AK421" i="1"/>
  <c r="AL421" i="1"/>
  <c r="AH396" i="1"/>
  <c r="AI396" i="1"/>
  <c r="AJ396" i="1"/>
  <c r="AK396" i="1"/>
  <c r="AL396" i="1"/>
  <c r="AH397" i="1"/>
  <c r="AI397" i="1"/>
  <c r="AJ397" i="1"/>
  <c r="AK397" i="1"/>
  <c r="AL397" i="1"/>
  <c r="AH398" i="1"/>
  <c r="AI398" i="1"/>
  <c r="AJ398" i="1"/>
  <c r="AK398" i="1"/>
  <c r="AL398" i="1"/>
  <c r="AG521" i="1"/>
  <c r="AG520" i="1"/>
  <c r="AG519" i="1"/>
  <c r="AG518" i="1"/>
  <c r="AH510" i="1"/>
  <c r="AI510" i="1"/>
  <c r="AJ510" i="1"/>
  <c r="AK510" i="1"/>
  <c r="AL510" i="1"/>
  <c r="AH511" i="1"/>
  <c r="AI511" i="1"/>
  <c r="AJ511" i="1"/>
  <c r="AK511" i="1"/>
  <c r="AL511" i="1"/>
  <c r="AH512" i="1"/>
  <c r="AJ512" i="1"/>
  <c r="AK512" i="1"/>
  <c r="AH513" i="1"/>
  <c r="AI513" i="1"/>
  <c r="AJ513" i="1"/>
  <c r="AK513" i="1"/>
  <c r="AL513" i="1"/>
  <c r="AH514" i="1"/>
  <c r="AJ514" i="1"/>
  <c r="AK514" i="1"/>
  <c r="AH515" i="1"/>
  <c r="AI515" i="1"/>
  <c r="AJ515" i="1"/>
  <c r="AK515" i="1"/>
  <c r="AL515" i="1"/>
  <c r="AG515" i="1"/>
  <c r="AG513" i="1"/>
  <c r="AG511" i="1"/>
  <c r="AG510" i="1"/>
  <c r="AH506" i="1"/>
  <c r="AI506" i="1"/>
  <c r="AJ506" i="1"/>
  <c r="AK506" i="1"/>
  <c r="AL506" i="1"/>
  <c r="AG506" i="1"/>
  <c r="AH487" i="1"/>
  <c r="AI487" i="1"/>
  <c r="AJ487" i="1"/>
  <c r="AK487" i="1"/>
  <c r="AL487" i="1"/>
  <c r="AH488" i="1"/>
  <c r="AI488" i="1"/>
  <c r="AJ488" i="1"/>
  <c r="AK488" i="1"/>
  <c r="AL488" i="1"/>
  <c r="AH489" i="1"/>
  <c r="AI489" i="1"/>
  <c r="AJ489" i="1"/>
  <c r="AK489" i="1"/>
  <c r="AL489" i="1"/>
  <c r="AH490" i="1"/>
  <c r="AI490" i="1"/>
  <c r="AJ490" i="1"/>
  <c r="AK490" i="1"/>
  <c r="AL490" i="1"/>
  <c r="AH491" i="1"/>
  <c r="AI491" i="1"/>
  <c r="AJ491" i="1"/>
  <c r="AK491" i="1"/>
  <c r="AL491" i="1"/>
  <c r="AH492" i="1"/>
  <c r="AI492" i="1"/>
  <c r="AJ492" i="1"/>
  <c r="AK492" i="1"/>
  <c r="AL492" i="1"/>
  <c r="AH493" i="1"/>
  <c r="AI493" i="1"/>
  <c r="AJ493" i="1"/>
  <c r="AK493" i="1"/>
  <c r="AL493" i="1"/>
  <c r="AK494" i="1"/>
  <c r="AH495" i="1"/>
  <c r="AI495" i="1"/>
  <c r="AJ495" i="1"/>
  <c r="AH496" i="1"/>
  <c r="AI496" i="1"/>
  <c r="AJ496" i="1"/>
  <c r="AK496" i="1"/>
  <c r="AL496" i="1"/>
  <c r="AH497" i="1"/>
  <c r="AI497" i="1"/>
  <c r="AJ497" i="1"/>
  <c r="AK497" i="1"/>
  <c r="AL497" i="1"/>
  <c r="AG496" i="1"/>
  <c r="AG489" i="1"/>
  <c r="AG488" i="1"/>
  <c r="AG487" i="1"/>
  <c r="AG490" i="1"/>
  <c r="AH471" i="1"/>
  <c r="AI471" i="1"/>
  <c r="AJ471" i="1"/>
  <c r="AK471" i="1"/>
  <c r="AL471" i="1"/>
  <c r="AH472" i="1"/>
  <c r="AI472" i="1"/>
  <c r="AJ472" i="1"/>
  <c r="AK472" i="1"/>
  <c r="AL472" i="1"/>
  <c r="AH473" i="1"/>
  <c r="AI473" i="1"/>
  <c r="AJ473" i="1"/>
  <c r="AK473" i="1"/>
  <c r="AL473" i="1"/>
  <c r="AH474" i="1"/>
  <c r="AI474" i="1"/>
  <c r="AJ474" i="1"/>
  <c r="AK474" i="1"/>
  <c r="AL474" i="1"/>
  <c r="AH475" i="1"/>
  <c r="AI475" i="1"/>
  <c r="AJ475" i="1"/>
  <c r="AK475" i="1"/>
  <c r="AL475" i="1"/>
  <c r="AH476" i="1"/>
  <c r="AI476" i="1"/>
  <c r="AJ476" i="1"/>
  <c r="AK476" i="1"/>
  <c r="AL476" i="1"/>
  <c r="AH478" i="1"/>
  <c r="AI478" i="1"/>
  <c r="AJ478" i="1"/>
  <c r="AK478" i="1"/>
  <c r="AL478" i="1"/>
  <c r="AH479" i="1"/>
  <c r="AI479" i="1"/>
  <c r="AJ479" i="1"/>
  <c r="AK479" i="1"/>
  <c r="AL479" i="1"/>
  <c r="AG479" i="1"/>
  <c r="AG476" i="1"/>
  <c r="AG474" i="1"/>
  <c r="AG473" i="1"/>
  <c r="AG471" i="1"/>
  <c r="AK466" i="1"/>
  <c r="AJ467" i="1"/>
  <c r="AK467" i="1"/>
  <c r="AJ468" i="1"/>
  <c r="AK468" i="1"/>
  <c r="AG466" i="1"/>
  <c r="AH457" i="1"/>
  <c r="AI457" i="1"/>
  <c r="AJ457" i="1"/>
  <c r="AK457" i="1"/>
  <c r="AL457" i="1"/>
  <c r="AH458" i="1"/>
  <c r="AI458" i="1"/>
  <c r="AJ458" i="1"/>
  <c r="AK458" i="1"/>
  <c r="AL458" i="1"/>
  <c r="AH459" i="1"/>
  <c r="AI459" i="1"/>
  <c r="AJ459" i="1"/>
  <c r="AK459" i="1"/>
  <c r="AL459" i="1"/>
  <c r="AH461" i="1"/>
  <c r="AI461" i="1"/>
  <c r="AJ461" i="1"/>
  <c r="AK461" i="1"/>
  <c r="AL461" i="1"/>
  <c r="AH462" i="1"/>
  <c r="AI462" i="1"/>
  <c r="AJ462" i="1"/>
  <c r="AK462" i="1"/>
  <c r="AL462" i="1"/>
  <c r="AJ463" i="1"/>
  <c r="AK463" i="1"/>
  <c r="AI464" i="1"/>
  <c r="AJ464" i="1"/>
  <c r="AL464" i="1"/>
  <c r="AG464" i="1"/>
  <c r="AG462" i="1"/>
  <c r="AG461" i="1"/>
  <c r="AG459" i="1"/>
  <c r="AG458" i="1"/>
  <c r="AG457" i="1"/>
  <c r="AH447" i="1"/>
  <c r="AI447" i="1"/>
  <c r="AJ447" i="1"/>
  <c r="AK447" i="1"/>
  <c r="AL447" i="1"/>
  <c r="AH448" i="1"/>
  <c r="AI448" i="1"/>
  <c r="AJ448" i="1"/>
  <c r="AK448" i="1"/>
  <c r="AL448" i="1"/>
  <c r="AG448" i="1"/>
  <c r="AG447" i="1"/>
  <c r="AH444" i="1"/>
  <c r="AI444" i="1"/>
  <c r="AJ444" i="1"/>
  <c r="AK444" i="1"/>
  <c r="AL444" i="1"/>
  <c r="AH445" i="1"/>
  <c r="AI445" i="1"/>
  <c r="AJ445" i="1"/>
  <c r="AK445" i="1"/>
  <c r="AL445" i="1"/>
  <c r="AG445" i="1"/>
  <c r="AG444" i="1"/>
  <c r="AG443" i="1"/>
  <c r="AH425" i="1"/>
  <c r="AI425" i="1"/>
  <c r="AJ425" i="1"/>
  <c r="AK425" i="1"/>
  <c r="AL425" i="1"/>
  <c r="AH426" i="1"/>
  <c r="AI426" i="1"/>
  <c r="AJ426" i="1"/>
  <c r="AK426" i="1"/>
  <c r="AL426" i="1"/>
  <c r="AG426" i="1"/>
  <c r="AG425" i="1"/>
  <c r="AG421" i="1"/>
  <c r="AG419" i="1"/>
  <c r="AH416" i="1"/>
  <c r="AI416" i="1"/>
  <c r="AJ416" i="1"/>
  <c r="AK416" i="1"/>
  <c r="AL416" i="1"/>
  <c r="AH417" i="1"/>
  <c r="AI417" i="1"/>
  <c r="AJ417" i="1"/>
  <c r="AK417" i="1"/>
  <c r="AL417" i="1"/>
  <c r="AH412" i="1"/>
  <c r="AI412" i="1"/>
  <c r="AJ412" i="1"/>
  <c r="AK412" i="1"/>
  <c r="AL412" i="1"/>
  <c r="AG412" i="1"/>
  <c r="AG417" i="1"/>
  <c r="AG416" i="1"/>
  <c r="AG398" i="1"/>
  <c r="AG397" i="1"/>
  <c r="AG396" i="1"/>
  <c r="AG509" i="1"/>
  <c r="AH508" i="1"/>
  <c r="AI508" i="1"/>
  <c r="AJ508" i="1"/>
  <c r="AK508" i="1"/>
  <c r="AL508" i="1"/>
  <c r="AG508" i="1"/>
  <c r="AH502" i="1"/>
  <c r="AI502" i="1"/>
  <c r="AJ502" i="1"/>
  <c r="AK502" i="1"/>
  <c r="AL502" i="1"/>
  <c r="AH503" i="1"/>
  <c r="AI503" i="1"/>
  <c r="AJ503" i="1"/>
  <c r="AK503" i="1"/>
  <c r="AL503" i="1"/>
  <c r="AH504" i="1"/>
  <c r="AI504" i="1"/>
  <c r="AJ504" i="1"/>
  <c r="AK504" i="1"/>
  <c r="AL504" i="1"/>
  <c r="AH505" i="1"/>
  <c r="AI505" i="1"/>
  <c r="AJ505" i="1"/>
  <c r="AK505" i="1"/>
  <c r="AL505" i="1"/>
  <c r="AH507" i="1"/>
  <c r="AI507" i="1"/>
  <c r="AJ507" i="1"/>
  <c r="AK507" i="1"/>
  <c r="AL507" i="1"/>
  <c r="AH509" i="1"/>
  <c r="AI509" i="1"/>
  <c r="AJ509" i="1"/>
  <c r="AK509" i="1"/>
  <c r="AL509" i="1"/>
  <c r="AH516" i="1"/>
  <c r="AI516" i="1"/>
  <c r="AJ516" i="1"/>
  <c r="AK516" i="1"/>
  <c r="AL516" i="1"/>
  <c r="AH517" i="1"/>
  <c r="AI517" i="1"/>
  <c r="AJ517" i="1"/>
  <c r="AK517" i="1"/>
  <c r="AL517" i="1"/>
  <c r="AH522" i="1"/>
  <c r="AI522" i="1"/>
  <c r="AJ522" i="1"/>
  <c r="AK522" i="1"/>
  <c r="AL522" i="1"/>
  <c r="AH523" i="1"/>
  <c r="AI523" i="1"/>
  <c r="AJ523" i="1"/>
  <c r="AK523" i="1"/>
  <c r="AL523" i="1"/>
  <c r="AH524" i="1"/>
  <c r="AI524" i="1"/>
  <c r="AJ524" i="1"/>
  <c r="AK524" i="1"/>
  <c r="AL524" i="1"/>
  <c r="AH525" i="1"/>
  <c r="AI525" i="1"/>
  <c r="AJ525" i="1"/>
  <c r="AK525" i="1"/>
  <c r="AL525" i="1"/>
  <c r="AH451" i="1"/>
  <c r="AI451" i="1"/>
  <c r="AJ451" i="1"/>
  <c r="AK451" i="1"/>
  <c r="AL451" i="1"/>
  <c r="AG451" i="1"/>
  <c r="AG525" i="1"/>
  <c r="AG524" i="1"/>
  <c r="AG523" i="1"/>
  <c r="AG522" i="1"/>
  <c r="AG517" i="1"/>
  <c r="AG516" i="1"/>
  <c r="AG512" i="1"/>
  <c r="AG507" i="1"/>
  <c r="AG505" i="1"/>
  <c r="AG504" i="1"/>
  <c r="AG503" i="1"/>
  <c r="AG470" i="1"/>
  <c r="AH470" i="1"/>
  <c r="AI470" i="1"/>
  <c r="AJ470" i="1"/>
  <c r="AK470" i="1"/>
  <c r="AL470" i="1"/>
  <c r="AL452" i="1"/>
  <c r="AK452" i="1"/>
  <c r="AJ452" i="1"/>
  <c r="AI452" i="1"/>
  <c r="AH452" i="1"/>
  <c r="AG452" i="1"/>
  <c r="AG502" i="1"/>
  <c r="AL501" i="1"/>
  <c r="AK501" i="1"/>
  <c r="AJ501" i="1"/>
  <c r="AI501" i="1"/>
  <c r="AH501" i="1"/>
  <c r="AG501" i="1"/>
  <c r="AL500" i="1"/>
  <c r="AK500" i="1"/>
  <c r="AJ500" i="1"/>
  <c r="AI500" i="1"/>
  <c r="AH500" i="1"/>
  <c r="AG500" i="1"/>
  <c r="AL499" i="1"/>
  <c r="AK499" i="1"/>
  <c r="AJ499" i="1"/>
  <c r="AI499" i="1"/>
  <c r="AH499" i="1"/>
  <c r="AG499" i="1"/>
  <c r="AL498" i="1"/>
  <c r="AK498" i="1"/>
  <c r="AJ498" i="1"/>
  <c r="AI498" i="1"/>
  <c r="AH498" i="1"/>
  <c r="AG498" i="1"/>
  <c r="AG497" i="1"/>
  <c r="AG495" i="1"/>
  <c r="AG493" i="1"/>
  <c r="AG492" i="1"/>
  <c r="AG491" i="1"/>
  <c r="AL486" i="1"/>
  <c r="AK486" i="1"/>
  <c r="AJ486" i="1"/>
  <c r="AI486" i="1"/>
  <c r="AH486" i="1"/>
  <c r="AG486" i="1"/>
  <c r="AL485" i="1"/>
  <c r="AJ485" i="1"/>
  <c r="AI485" i="1"/>
  <c r="AH485" i="1"/>
  <c r="AG485" i="1"/>
  <c r="AL484" i="1"/>
  <c r="AK484" i="1"/>
  <c r="AJ484" i="1"/>
  <c r="AI484" i="1"/>
  <c r="AH484" i="1"/>
  <c r="AG484" i="1"/>
  <c r="AL483" i="1"/>
  <c r="AK483" i="1"/>
  <c r="AJ483" i="1"/>
  <c r="AI483" i="1"/>
  <c r="AH483" i="1"/>
  <c r="AG483" i="1"/>
  <c r="AL482" i="1"/>
  <c r="AK482" i="1"/>
  <c r="AJ482" i="1"/>
  <c r="AI482" i="1"/>
  <c r="AH482" i="1"/>
  <c r="AG482" i="1"/>
  <c r="AL481" i="1"/>
  <c r="AK481" i="1"/>
  <c r="AJ481" i="1"/>
  <c r="AI481" i="1"/>
  <c r="AH481" i="1"/>
  <c r="AG481" i="1"/>
  <c r="AG478" i="1"/>
  <c r="AG472" i="1"/>
  <c r="AG475" i="1"/>
  <c r="AL465" i="1"/>
  <c r="AK465" i="1"/>
  <c r="AJ465" i="1"/>
  <c r="AI465" i="1"/>
  <c r="AH465" i="1"/>
  <c r="AL456" i="1"/>
  <c r="AK456" i="1"/>
  <c r="AJ456" i="1"/>
  <c r="AI456" i="1"/>
  <c r="AH456" i="1"/>
  <c r="AL455" i="1"/>
  <c r="AK455" i="1"/>
  <c r="AJ455" i="1"/>
  <c r="AI455" i="1"/>
  <c r="AH455" i="1"/>
  <c r="AL454" i="1"/>
  <c r="AK454" i="1"/>
  <c r="AJ454" i="1"/>
  <c r="AI454" i="1"/>
  <c r="AH454" i="1"/>
  <c r="AG454" i="1"/>
  <c r="AL453" i="1"/>
  <c r="AK453" i="1"/>
  <c r="AJ453" i="1"/>
  <c r="AI453" i="1"/>
  <c r="AH453" i="1"/>
  <c r="AG453" i="1"/>
  <c r="AL449" i="1"/>
  <c r="AK449" i="1"/>
  <c r="AJ449" i="1"/>
  <c r="AI449" i="1"/>
  <c r="AH449" i="1"/>
  <c r="AG449" i="1"/>
  <c r="AL446" i="1"/>
  <c r="AK446" i="1"/>
  <c r="AJ446" i="1"/>
  <c r="AI446" i="1"/>
  <c r="AH446" i="1"/>
  <c r="AG446" i="1"/>
  <c r="AL443" i="1"/>
  <c r="AK443" i="1"/>
  <c r="AJ443" i="1"/>
  <c r="AI443" i="1"/>
  <c r="AH443" i="1"/>
  <c r="AL442" i="1"/>
  <c r="AK442" i="1"/>
  <c r="AJ442" i="1"/>
  <c r="AI442" i="1"/>
  <c r="AH442" i="1"/>
  <c r="AG442" i="1"/>
  <c r="AL441" i="1"/>
  <c r="AK441" i="1"/>
  <c r="AJ441" i="1"/>
  <c r="AI441" i="1"/>
  <c r="AG440" i="1"/>
  <c r="AL428" i="1"/>
  <c r="AK428" i="1"/>
  <c r="AJ428" i="1"/>
  <c r="AI428" i="1"/>
  <c r="AH428" i="1"/>
  <c r="AG428" i="1"/>
  <c r="AL427" i="1"/>
  <c r="AK427" i="1"/>
  <c r="AJ427" i="1"/>
  <c r="AI427" i="1"/>
  <c r="AH427" i="1"/>
  <c r="AG427" i="1"/>
  <c r="AL424" i="1"/>
  <c r="AK424" i="1"/>
  <c r="AJ424" i="1"/>
  <c r="AI424" i="1"/>
  <c r="AH424" i="1"/>
  <c r="AG424" i="1"/>
  <c r="AL423" i="1"/>
  <c r="AK423" i="1"/>
  <c r="AJ423" i="1"/>
  <c r="AI423" i="1"/>
  <c r="AH423" i="1"/>
  <c r="AG423" i="1"/>
  <c r="AL422" i="1"/>
  <c r="AK422" i="1"/>
  <c r="AJ422" i="1"/>
  <c r="AI422" i="1"/>
  <c r="AH422" i="1"/>
  <c r="AG422" i="1"/>
  <c r="AG420" i="1"/>
  <c r="AL418" i="1"/>
  <c r="AK418" i="1"/>
  <c r="AJ418" i="1"/>
  <c r="AI418" i="1"/>
  <c r="AH418" i="1"/>
  <c r="AG418" i="1"/>
  <c r="AL415" i="1"/>
  <c r="AK415" i="1"/>
  <c r="AJ415" i="1"/>
  <c r="AI415" i="1"/>
  <c r="AH415" i="1"/>
  <c r="AG415" i="1"/>
  <c r="AL414" i="1"/>
  <c r="AK414" i="1"/>
  <c r="AJ414" i="1"/>
  <c r="AI414" i="1"/>
  <c r="AH414" i="1"/>
  <c r="AG414" i="1"/>
  <c r="AL413" i="1"/>
  <c r="AK413" i="1"/>
  <c r="AJ413" i="1"/>
  <c r="AI413" i="1"/>
  <c r="AH413" i="1"/>
  <c r="AG413" i="1"/>
  <c r="AL411" i="1"/>
  <c r="AK411" i="1"/>
  <c r="AJ411" i="1"/>
  <c r="AI411" i="1"/>
  <c r="AH411" i="1"/>
  <c r="AG411" i="1"/>
  <c r="AL410" i="1"/>
  <c r="AK410" i="1"/>
  <c r="AJ410" i="1"/>
  <c r="AI410" i="1"/>
  <c r="AH410" i="1"/>
  <c r="AG410" i="1"/>
  <c r="AL409" i="1"/>
  <c r="AK409" i="1"/>
  <c r="AJ409" i="1"/>
  <c r="AI409" i="1"/>
  <c r="AH409" i="1"/>
  <c r="AG409" i="1"/>
  <c r="AL408" i="1"/>
  <c r="AK408" i="1"/>
  <c r="AJ408" i="1"/>
  <c r="AI408" i="1"/>
  <c r="AH408" i="1"/>
  <c r="AG408" i="1"/>
  <c r="C402" i="1"/>
  <c r="AL407" i="1"/>
  <c r="AK407" i="1"/>
  <c r="AJ407" i="1"/>
  <c r="AI407" i="1"/>
  <c r="AH407" i="1"/>
  <c r="AG407" i="1"/>
  <c r="C401" i="1"/>
  <c r="AL406" i="1"/>
  <c r="AK406" i="1"/>
  <c r="AJ406" i="1"/>
  <c r="AI406" i="1"/>
  <c r="AH406" i="1"/>
  <c r="AG406" i="1"/>
  <c r="C399" i="1"/>
  <c r="AL402" i="1"/>
  <c r="AK402" i="1"/>
  <c r="AJ402" i="1"/>
  <c r="AI402" i="1"/>
  <c r="AH402" i="1"/>
  <c r="AG402" i="1"/>
  <c r="AL401" i="1"/>
  <c r="AK401" i="1"/>
  <c r="AJ401" i="1"/>
  <c r="AI401" i="1"/>
  <c r="AH401" i="1"/>
  <c r="AG401" i="1"/>
  <c r="C397" i="1"/>
  <c r="AL400" i="1"/>
  <c r="AK400" i="1"/>
  <c r="AJ400" i="1"/>
  <c r="AI400" i="1"/>
  <c r="AH400" i="1"/>
  <c r="AG400" i="1"/>
  <c r="C396" i="1"/>
  <c r="AL399" i="1"/>
  <c r="AK399" i="1"/>
  <c r="AJ399" i="1"/>
  <c r="AI399" i="1"/>
  <c r="AH399" i="1"/>
  <c r="AG399" i="1"/>
  <c r="C395" i="1"/>
  <c r="AL395" i="1"/>
  <c r="AK395" i="1"/>
  <c r="AJ395" i="1"/>
  <c r="AI395" i="1"/>
  <c r="AH395" i="1"/>
  <c r="C394" i="1"/>
  <c r="AL394" i="1"/>
  <c r="AK394" i="1"/>
  <c r="AJ394" i="1"/>
  <c r="AI394" i="1"/>
  <c r="AH394" i="1"/>
  <c r="AG394" i="1"/>
  <c r="C393" i="1"/>
  <c r="AL393" i="1"/>
  <c r="AK393" i="1"/>
  <c r="AJ393" i="1"/>
  <c r="AI393" i="1"/>
  <c r="AH393" i="1"/>
  <c r="AG393" i="1"/>
  <c r="C391" i="1"/>
  <c r="AC10" i="1"/>
  <c r="V10" i="1"/>
  <c r="AC9" i="1"/>
  <c r="V9" i="1"/>
  <c r="AL9" i="1"/>
  <c r="AI9" i="1"/>
  <c r="AG9" i="1"/>
  <c r="AC8" i="1"/>
  <c r="AK8" i="1" s="1"/>
  <c r="V8" i="1"/>
  <c r="AL8" i="1"/>
  <c r="AI8" i="1"/>
  <c r="AG8" i="1"/>
  <c r="AL512" i="1"/>
  <c r="AI512" i="1"/>
  <c r="AM463" i="1"/>
  <c r="AL514" i="1"/>
  <c r="AI514" i="1"/>
  <c r="AH403" i="1"/>
  <c r="AJ403" i="1"/>
  <c r="AG468" i="1"/>
  <c r="AG463" i="1"/>
  <c r="AG467" i="1"/>
  <c r="AG441" i="1"/>
  <c r="AM464" i="1"/>
  <c r="AM466" i="1"/>
  <c r="AM403" i="1"/>
  <c r="AL403" i="1"/>
  <c r="AI403" i="1"/>
  <c r="AL466" i="1"/>
  <c r="AI466" i="1"/>
  <c r="AI405" i="1"/>
  <c r="AJ405" i="1"/>
  <c r="AM405" i="1"/>
  <c r="AL463" i="1"/>
  <c r="AI463" i="1"/>
  <c r="AH441" i="1"/>
  <c r="AH468" i="1"/>
  <c r="AH467" i="1"/>
  <c r="AL467" i="1"/>
  <c r="AI467" i="1"/>
  <c r="AH463" i="1"/>
  <c r="AJ494" i="1"/>
  <c r="AL494" i="1"/>
  <c r="AI494" i="1"/>
  <c r="AJ466" i="1"/>
  <c r="AL468" i="1"/>
  <c r="AI468" i="1"/>
  <c r="AG494" i="1"/>
  <c r="AH466" i="1"/>
  <c r="AM494" i="1"/>
  <c r="AH464" i="1"/>
  <c r="C398" i="1"/>
  <c r="C400" i="1"/>
  <c r="AL405" i="1"/>
  <c r="AK9" i="1" l="1"/>
  <c r="AH9" i="1"/>
  <c r="AG10" i="1"/>
  <c r="AI10" i="1"/>
  <c r="AL10" i="1" s="1"/>
  <c r="AK10" i="1"/>
  <c r="AM526" i="1"/>
  <c r="AJ8" i="1"/>
  <c r="AM8" i="1" s="1"/>
  <c r="AK433" i="1"/>
  <c r="AG433" i="1"/>
  <c r="AI433" i="1"/>
  <c r="AH8" i="1"/>
  <c r="AJ9" i="1"/>
  <c r="AM9" i="1" s="1"/>
  <c r="AL433" i="1" l="1"/>
</calcChain>
</file>

<file path=xl/comments1.xml><?xml version="1.0" encoding="utf-8"?>
<comments xmlns="http://schemas.openxmlformats.org/spreadsheetml/2006/main">
  <authors>
    <author>MAREESM</author>
    <author>SM MAREE</author>
    <author>mareesm</author>
  </authors>
  <commentList>
    <comment ref="M8" authorId="0">
      <text>
        <r>
          <rPr>
            <b/>
            <sz val="8"/>
            <color indexed="81"/>
            <rFont val="Tahoma"/>
            <family val="2"/>
          </rPr>
          <t>REPORT PER COMMODITY TESTED</t>
        </r>
        <r>
          <rPr>
            <sz val="8"/>
            <color indexed="81"/>
            <rFont val="Tahoma"/>
            <family val="2"/>
          </rPr>
          <t xml:space="preserve">
e.g. bread when the inspection lot is less than 100 units. Note the actual number of units tested.
</t>
        </r>
      </text>
    </comment>
    <comment ref="R8" authorId="1">
      <text>
        <r>
          <rPr>
            <b/>
            <sz val="9"/>
            <color indexed="81"/>
            <rFont val="Tahoma"/>
            <family val="2"/>
          </rPr>
          <t>SM MAREE:</t>
        </r>
        <r>
          <rPr>
            <sz val="9"/>
            <color indexed="81"/>
            <rFont val="Tahoma"/>
            <family val="2"/>
          </rPr>
          <t xml:space="preserve">
Only indicate the number of packets tested i.e 10 packets of sausage</t>
        </r>
      </text>
    </comment>
    <comment ref="S8" authorId="1">
      <text>
        <r>
          <rPr>
            <b/>
            <sz val="9"/>
            <color indexed="81"/>
            <rFont val="Tahoma"/>
            <family val="2"/>
          </rPr>
          <t>SM MAREE:</t>
        </r>
        <r>
          <rPr>
            <sz val="9"/>
            <color indexed="81"/>
            <rFont val="Tahoma"/>
            <family val="2"/>
          </rPr>
          <t xml:space="preserve">
Please note the TOTAL weight calculated must be included here, when random mass is tested
</t>
        </r>
      </text>
    </comment>
    <comment ref="S10" authorId="1">
      <text>
        <r>
          <rPr>
            <b/>
            <sz val="9"/>
            <color indexed="81"/>
            <rFont val="Tahoma"/>
            <family val="2"/>
          </rPr>
          <t>SM MAREE:</t>
        </r>
        <r>
          <rPr>
            <sz val="9"/>
            <color indexed="81"/>
            <rFont val="Tahoma"/>
            <family val="2"/>
          </rPr>
          <t xml:space="preserve">
Always change kilogram or higher and litre to gram or mililitre respectively e.g. 1200 g in stead of 1.2 kg or 1500 ml in stead of 1.5 L</t>
        </r>
      </text>
    </comment>
    <comment ref="M388" authorId="2">
      <text>
        <r>
          <rPr>
            <b/>
            <sz val="8"/>
            <color indexed="81"/>
            <rFont val="Tahoma"/>
            <family val="2"/>
          </rPr>
          <t>Insert/Delete lines above TOTAL and make sure the calculations correspond to the lines.</t>
        </r>
        <r>
          <rPr>
            <sz val="8"/>
            <color indexed="81"/>
            <rFont val="Tahoma"/>
            <family val="2"/>
          </rPr>
          <t xml:space="preserve">
If less lines are required delete the lines not used to make sure that the total is correct</t>
        </r>
      </text>
    </comment>
  </commentList>
</comments>
</file>

<file path=xl/sharedStrings.xml><?xml version="1.0" encoding="utf-8"?>
<sst xmlns="http://schemas.openxmlformats.org/spreadsheetml/2006/main" count="2169" uniqueCount="717">
  <si>
    <t>LEGAL METROLOGY REPORT ON  TARE SURVEY</t>
  </si>
  <si>
    <t>Inspector Name:</t>
  </si>
  <si>
    <t>Period Under Review:</t>
  </si>
  <si>
    <t>Compiler:</t>
  </si>
  <si>
    <t>Business Name</t>
  </si>
  <si>
    <t>Type of business</t>
  </si>
  <si>
    <t>Inspection Number</t>
  </si>
  <si>
    <t>Retail</t>
  </si>
  <si>
    <t>Embargo</t>
  </si>
  <si>
    <t>Warning</t>
  </si>
  <si>
    <t>Prosecution</t>
  </si>
  <si>
    <t>Commodity as per Annex E</t>
  </si>
  <si>
    <t>Common Product Name</t>
  </si>
  <si>
    <t>Applicable Requirements applied: (Par 4.3 or 4.5 of SANS 458)</t>
  </si>
  <si>
    <t>SAMPLE ALL(indicate No tested)</t>
  </si>
  <si>
    <t>SAMPLE 20 (Destructive)</t>
  </si>
  <si>
    <t>SAMPLE 50</t>
  </si>
  <si>
    <t>SAMPLE 80</t>
  </si>
  <si>
    <t>SAMPLE 125</t>
  </si>
  <si>
    <t>INDIVIDUAL SAMPLE PAR 4.3 (Random @ Retail)</t>
  </si>
  <si>
    <t>Declared in gram/mililiter/count</t>
  </si>
  <si>
    <t>unit g/ml/c</t>
  </si>
  <si>
    <t>Actual quantity ((If random divide total by number of packages weighed)</t>
  </si>
  <si>
    <t xml:space="preserve">Average shortage/ excess </t>
  </si>
  <si>
    <t>T1 Errors</t>
  </si>
  <si>
    <t xml:space="preserve">T2 Errors </t>
  </si>
  <si>
    <t>Scale Suitability? (YES = 1, NO = 0)</t>
  </si>
  <si>
    <t>Is Shortage if found as a result of taring? ( Yes = 1, No = 0)</t>
  </si>
  <si>
    <t>Price per kilogram</t>
  </si>
  <si>
    <t>Unit Price (not random products)</t>
  </si>
  <si>
    <t>Unit Price</t>
  </si>
  <si>
    <t>Days/week</t>
  </si>
  <si>
    <t>Produce/day</t>
  </si>
  <si>
    <t>Units In Stock</t>
  </si>
  <si>
    <t>Cost to Industry/ units in stock</t>
  </si>
  <si>
    <t>Cost to Consumer/ units in stock</t>
  </si>
  <si>
    <t>Actual Cost to Industry of Batch</t>
  </si>
  <si>
    <t>Actual Cost to Consumer of batch</t>
  </si>
  <si>
    <t>Annual Sales</t>
  </si>
  <si>
    <t>Projected annual Cost to Industry</t>
  </si>
  <si>
    <t>Projected annual Cost to Consumer</t>
  </si>
  <si>
    <t>Brandwag</t>
  </si>
  <si>
    <t>Supermarket</t>
  </si>
  <si>
    <t>B117/0043</t>
  </si>
  <si>
    <t>Adhesive and sealants.</t>
  </si>
  <si>
    <t>Grabouw wors</t>
  </si>
  <si>
    <t>g</t>
  </si>
  <si>
    <t xml:space="preserve">Bread </t>
  </si>
  <si>
    <t>White bread</t>
  </si>
  <si>
    <t>Pioneer</t>
  </si>
  <si>
    <t>Hardware</t>
  </si>
  <si>
    <t>B117/0044</t>
  </si>
  <si>
    <t>Liquid Petroleum Gas (LPG)</t>
  </si>
  <si>
    <t>Gas</t>
  </si>
  <si>
    <t>TOTAL</t>
  </si>
  <si>
    <t>Total Cost to Industry</t>
  </si>
  <si>
    <t>Number of businesses found not taring:</t>
  </si>
  <si>
    <t>Total Cost to Consumer</t>
  </si>
  <si>
    <t>Number of places visited</t>
  </si>
  <si>
    <t>Grand total of batches</t>
  </si>
  <si>
    <t>Amount actually tested</t>
  </si>
  <si>
    <t>Aerosol</t>
  </si>
  <si>
    <t>Highest quantity</t>
  </si>
  <si>
    <t>Alcoholic beverages</t>
  </si>
  <si>
    <t>Lowest quantity</t>
  </si>
  <si>
    <t>Animal Feed</t>
  </si>
  <si>
    <t>Number below minus tolerance</t>
  </si>
  <si>
    <t>Baby foods</t>
  </si>
  <si>
    <t>Number of batches short on average</t>
  </si>
  <si>
    <t>Beverages</t>
  </si>
  <si>
    <t>Average retail selling price</t>
  </si>
  <si>
    <t>Biscuits</t>
  </si>
  <si>
    <t>Savings to consumer in Rands</t>
  </si>
  <si>
    <t>Number of Warnings</t>
  </si>
  <si>
    <t>Breakfast Cereal</t>
  </si>
  <si>
    <t>Number of Prosecutions</t>
  </si>
  <si>
    <t>Butter, margarine, emulsified or non animal and vegetable fats (low fat spreads), dripping, lard and animal or vegetable cooking fats</t>
  </si>
  <si>
    <t>Cakes and similar confectionery items excluding biscuits and bread</t>
  </si>
  <si>
    <t>Candles</t>
  </si>
  <si>
    <t>Cement</t>
  </si>
  <si>
    <t>Cheese</t>
  </si>
  <si>
    <t>Cleaning materials</t>
  </si>
  <si>
    <t>Coal, anthracite, coke and charcoal</t>
  </si>
  <si>
    <t>Compost, potting soil and similar products for garden use excluding fertilizer</t>
  </si>
  <si>
    <t>Condiment, seasoning, relish and flavouring liquids, sauces and pastes with or without solid components including mayonnaise, chutney, mustard and ketchup (tomato sauce)</t>
  </si>
  <si>
    <t>Cosmetics and toiletries</t>
  </si>
  <si>
    <t>Cotton wool and pads used for surgical, medical, first aid and toilet purposes</t>
  </si>
  <si>
    <t>Crisps</t>
  </si>
  <si>
    <t>Dried beans, dried peas, pea flour, lentils, pearl barley and similar pulses</t>
  </si>
  <si>
    <t>Edible Nuts</t>
  </si>
  <si>
    <t>Edible Oil</t>
  </si>
  <si>
    <t>Flour: Wheaten meal and wheaten flour including self raising flour, rye meal and rye flour</t>
  </si>
  <si>
    <t>Fruit and vegetables a) Fresh</t>
  </si>
  <si>
    <t>Fruit and vegetables b) Frozen</t>
  </si>
  <si>
    <t>Fruit and vegetables c) Canned (fruit, fruit pulp and  vegetables)</t>
  </si>
  <si>
    <t>Fruit drinks (undiluted)</t>
  </si>
  <si>
    <t>Honey, jams, syrups including jellies (jam type), grape syrup and treacle</t>
  </si>
  <si>
    <t>Ice Cream</t>
  </si>
  <si>
    <t>Knitting, crocheting and similar yarns</t>
  </si>
  <si>
    <t>Liquid dairy products,  including cream, drinking  yoghurt, flavoured milk and  refrigerated desserts but  excluding milk (fresh or sour),  long life milk, condensed milk  and fruit juice</t>
  </si>
  <si>
    <t>Macaroni, spaghetti, vermicelli and egg noodles</t>
  </si>
  <si>
    <t>Maize in the following forms: whole, meal, flour, crushed, samp, maize rice and grits</t>
  </si>
  <si>
    <t>Meat including when processed or enhanced in any manner</t>
  </si>
  <si>
    <t>Milk 1) Fresh or sour milk including  long life milk but excluding   flavoured milk and cream</t>
  </si>
  <si>
    <t>milk Powder</t>
  </si>
  <si>
    <t>Milk 3) Condensed milk</t>
  </si>
  <si>
    <t>Mushrooms</t>
  </si>
  <si>
    <t>Paint</t>
  </si>
  <si>
    <t>Paper products a) Tissue paper which is sold as  or under the name of toilet  paper or which has the  appearance of toilet tissue  paper when wound in the form  of a roll with a width not  exceeding 140 mm</t>
  </si>
  <si>
    <t>Paper products b) Sheets of paper being facial  tissues, serviettes or towels  whether separate or joined in  the form of perforated packs or  rolls.</t>
  </si>
  <si>
    <t>Paper Products c) Paper being wrapping,  drawing, reproduction and  paper used for a similar  purposes including facsimile  paper i) Sheets</t>
  </si>
  <si>
    <t>Pasta</t>
  </si>
  <si>
    <t>Peanut butter</t>
  </si>
  <si>
    <t>Pharmaceuticals</t>
  </si>
  <si>
    <t>Plastic</t>
  </si>
  <si>
    <t>Polishes in paste, wax or liquid form</t>
  </si>
  <si>
    <t>Polyolefin compounds in the form of coloured membrane for damp-proofing, water-proofing or agricultural use and similar polyolefin based products which have the appearance of such membranes excluding made up articles produced from such membrane</t>
  </si>
  <si>
    <t>Poultry including when processed or enhanced in any manner</t>
  </si>
  <si>
    <t>Rope, cordage and twine</t>
  </si>
  <si>
    <t>rusks</t>
  </si>
  <si>
    <t>Salads</t>
  </si>
  <si>
    <t>Salt</t>
  </si>
  <si>
    <t>Seafood &amp; Fish</t>
  </si>
  <si>
    <t>Seeds including maize seeds</t>
  </si>
  <si>
    <t>Sewing thread</t>
  </si>
  <si>
    <t>Snacks</t>
  </si>
  <si>
    <t>Sorghum Meal</t>
  </si>
  <si>
    <t>Spreads being meat extracts vegetable extracts and fish paste</t>
  </si>
  <si>
    <t>Sugar or chocolate confectionery</t>
  </si>
  <si>
    <t>Tea</t>
  </si>
  <si>
    <t>Toilet soap when in the form of bars, tablets or cakes</t>
  </si>
  <si>
    <t>Toothpaste</t>
  </si>
  <si>
    <t>Vinegar</t>
  </si>
  <si>
    <t>Water</t>
  </si>
  <si>
    <t>Wire (all types)</t>
  </si>
  <si>
    <t>yoghurt</t>
  </si>
  <si>
    <t>Item not in list</t>
  </si>
  <si>
    <t>Alcoholic beverages: Beer</t>
  </si>
  <si>
    <t>Alcoholic beverages: Spirits and liqueurs</t>
  </si>
  <si>
    <t>Alcoholic beverages: Wine</t>
  </si>
  <si>
    <t>Bread other</t>
  </si>
  <si>
    <t xml:space="preserve">Bread Brown </t>
  </si>
  <si>
    <t xml:space="preserve">Bread White </t>
  </si>
  <si>
    <t>Chocolate &amp; Sugar Confectionery</t>
  </si>
  <si>
    <t>Coffee and chicory  – beans or ground, pure, mixtures excl. instant</t>
  </si>
  <si>
    <t>Coffee Instant other</t>
  </si>
  <si>
    <t xml:space="preserve">Coffee Instant 250g </t>
  </si>
  <si>
    <t>Condensed milk</t>
  </si>
  <si>
    <t>Condiments Sauces</t>
  </si>
  <si>
    <t>Dried Beans Butter Beans (500g)</t>
  </si>
  <si>
    <t>Dried Beans Sugar beans (500g)</t>
  </si>
  <si>
    <t xml:space="preserve">Edible oil Sunflower Oil 750ml </t>
  </si>
  <si>
    <t>Edible oil: Other Sunflower oil</t>
  </si>
  <si>
    <t>Edible oils: Other than sunflower oil</t>
  </si>
  <si>
    <t>Fish &amp; Seafood other</t>
  </si>
  <si>
    <t xml:space="preserve">Fish Canned Pilchards 425g </t>
  </si>
  <si>
    <t>Fish Fresh, chilled or frozen fish</t>
  </si>
  <si>
    <t>Flour Sorghum meal</t>
  </si>
  <si>
    <t>Fruit Apples/1.5kg bag</t>
  </si>
  <si>
    <t xml:space="preserve">Fruit Bananas/kg </t>
  </si>
  <si>
    <t>Fruit juices</t>
  </si>
  <si>
    <t>Fruit Oranges/kg</t>
  </si>
  <si>
    <t xml:space="preserve">Maize Meal 2.5kg and 12.5 kg </t>
  </si>
  <si>
    <t xml:space="preserve">Maize Samp 1kg </t>
  </si>
  <si>
    <t xml:space="preserve">Margarine 250g </t>
  </si>
  <si>
    <t>Margarine and other vegetable fats</t>
  </si>
  <si>
    <t>Meat Beef</t>
  </si>
  <si>
    <t>Meat Dried, salted or smoked meat</t>
  </si>
  <si>
    <t>Meat Lamb</t>
  </si>
  <si>
    <t>Meat Other preserved or processed meat</t>
  </si>
  <si>
    <t>Meat Pork</t>
  </si>
  <si>
    <t xml:space="preserve">Meat Stewing Beef/kg </t>
  </si>
  <si>
    <t xml:space="preserve">Milk 1litre </t>
  </si>
  <si>
    <t xml:space="preserve">milk Low fat </t>
  </si>
  <si>
    <t>milk Other products</t>
  </si>
  <si>
    <t xml:space="preserve">milk Preserved </t>
  </si>
  <si>
    <t xml:space="preserve">milk Whole </t>
  </si>
  <si>
    <t>NOT LISTED</t>
  </si>
  <si>
    <t xml:space="preserve">Peanut Butter 410g </t>
  </si>
  <si>
    <t>Personal care items</t>
  </si>
  <si>
    <t>Pet products</t>
  </si>
  <si>
    <t>Poultry Chicken/kg</t>
  </si>
  <si>
    <t xml:space="preserve">Rice 2kg </t>
  </si>
  <si>
    <t xml:space="preserve">Rice other </t>
  </si>
  <si>
    <t>Soft drinks</t>
  </si>
  <si>
    <t>Stationery and drawing Materials</t>
  </si>
  <si>
    <t>Sugar other</t>
  </si>
  <si>
    <t xml:space="preserve">Sugar 2,5 kg White </t>
  </si>
  <si>
    <t xml:space="preserve">Tea Leaves 250g </t>
  </si>
  <si>
    <t>Veg Onions/kg</t>
  </si>
  <si>
    <t>Veg Potatoes/kg</t>
  </si>
  <si>
    <t>Veg Tomatoes/kg</t>
  </si>
  <si>
    <t>Vegetables other</t>
  </si>
  <si>
    <t>Maize Meal other</t>
  </si>
  <si>
    <t>Maize Samp Other</t>
  </si>
  <si>
    <t xml:space="preserve">Spices and herbs </t>
  </si>
  <si>
    <t xml:space="preserve">Bread Other and cereal product </t>
  </si>
  <si>
    <t>Source Local</t>
  </si>
  <si>
    <t>Source Importers</t>
  </si>
  <si>
    <t xml:space="preserve">Milk Whole </t>
  </si>
  <si>
    <t>Cost to Consumer</t>
  </si>
  <si>
    <t>Factory</t>
  </si>
  <si>
    <t>ml</t>
  </si>
  <si>
    <t>Bakery</t>
  </si>
  <si>
    <t>Brown Bread</t>
  </si>
  <si>
    <t>Butchery</t>
  </si>
  <si>
    <t>Stewing Beef</t>
  </si>
  <si>
    <t>Maize Meal</t>
  </si>
  <si>
    <t>supermarket</t>
  </si>
  <si>
    <t>butchery</t>
  </si>
  <si>
    <t>OK Grocer</t>
  </si>
  <si>
    <t>Boxer Super Stores</t>
  </si>
  <si>
    <t>SASKO</t>
  </si>
  <si>
    <t>PC113/015084</t>
  </si>
  <si>
    <t>Low Gi Seed Loaf</t>
  </si>
  <si>
    <t>Low Gi Oats &amp; Honey</t>
  </si>
  <si>
    <t>Pumpkin Seed</t>
  </si>
  <si>
    <t>Woolworths Low GI Soya</t>
  </si>
  <si>
    <t>President Hyper</t>
  </si>
  <si>
    <t>PC113/015086</t>
  </si>
  <si>
    <t>Pick n Pay</t>
  </si>
  <si>
    <t>PC113/015090</t>
  </si>
  <si>
    <t>Sunbake</t>
  </si>
  <si>
    <t>PC113/015092</t>
  </si>
  <si>
    <t>PC113/015097</t>
  </si>
  <si>
    <t>Radium Miiling</t>
  </si>
  <si>
    <t>PC142/21795</t>
  </si>
  <si>
    <t>Bosparadys Diary</t>
  </si>
  <si>
    <t>PC142/21798</t>
  </si>
  <si>
    <t>Milk 1 litre whole</t>
  </si>
  <si>
    <t>Satchet</t>
  </si>
  <si>
    <t>Albany Bakery</t>
  </si>
  <si>
    <t>PC146/21951</t>
  </si>
  <si>
    <t>Radium Milling (Re-visit)</t>
  </si>
  <si>
    <t>PC 146/21959</t>
  </si>
  <si>
    <t>Mountain Lake Spar</t>
  </si>
  <si>
    <t>PC 146/21957</t>
  </si>
  <si>
    <t>Pick n Pay Bela-Bela</t>
  </si>
  <si>
    <t>PC146/21960</t>
  </si>
  <si>
    <t>Chester Milling</t>
  </si>
  <si>
    <t>PC146/21962</t>
  </si>
  <si>
    <t>Checkers Pta North</t>
  </si>
  <si>
    <t>PC146/21964</t>
  </si>
  <si>
    <t>7 Eleven PTA North</t>
  </si>
  <si>
    <t>PC146/21965</t>
  </si>
  <si>
    <t>Pick n Pay Dorandia</t>
  </si>
  <si>
    <t>PC146/21966</t>
  </si>
  <si>
    <t>y</t>
  </si>
  <si>
    <t>Shoprite Middestad</t>
  </si>
  <si>
    <t>FS2011/42/013238</t>
  </si>
  <si>
    <t>FS2011/42/013239</t>
  </si>
  <si>
    <t>FS2011/42/013240</t>
  </si>
  <si>
    <t>Shoprite Heidedal</t>
  </si>
  <si>
    <t>FS2011/42/013241</t>
  </si>
  <si>
    <t>FS2011/42/013242</t>
  </si>
  <si>
    <t>FS2011/42/013243</t>
  </si>
  <si>
    <t>FS2011/42/013244</t>
  </si>
  <si>
    <t>Bayswater Kwik Spar</t>
  </si>
  <si>
    <t>FS2011/42/013246</t>
  </si>
  <si>
    <t>FS2011/42/013247</t>
  </si>
  <si>
    <t>FS2011/42/013248</t>
  </si>
  <si>
    <t>FS2011/42/013249</t>
  </si>
  <si>
    <t>Ok Grocer</t>
  </si>
  <si>
    <t>65/017241</t>
  </si>
  <si>
    <t>Kameel Doring Wors</t>
  </si>
  <si>
    <t>Diced Pumpkin</t>
  </si>
  <si>
    <t>Carrots</t>
  </si>
  <si>
    <t>Green Beans</t>
  </si>
  <si>
    <t xml:space="preserve">Border Star Bakery </t>
  </si>
  <si>
    <t>65/017242</t>
  </si>
  <si>
    <t>Star Brown Bread</t>
  </si>
  <si>
    <t>Star White Bread</t>
  </si>
  <si>
    <t>Star Delux White Bread</t>
  </si>
  <si>
    <t>Star Delux Brown Bread</t>
  </si>
  <si>
    <t>Raibowbow Bakery</t>
  </si>
  <si>
    <t>65/017243</t>
  </si>
  <si>
    <t>Shoprite KWT</t>
  </si>
  <si>
    <t>65/017244</t>
  </si>
  <si>
    <t>Bread</t>
  </si>
  <si>
    <t>Whole Wheat Bread</t>
  </si>
  <si>
    <t>Pizza Toppings</t>
  </si>
  <si>
    <t>Rib &amp; Loin Chops</t>
  </si>
  <si>
    <t>Beef Bangers</t>
  </si>
  <si>
    <t>Mutton Braai Chops</t>
  </si>
  <si>
    <t>Ground Beef Mince</t>
  </si>
  <si>
    <t>Nicks Foods</t>
  </si>
  <si>
    <t>65/017245</t>
  </si>
  <si>
    <t>65/017247</t>
  </si>
  <si>
    <t>Pork head Cooked</t>
  </si>
  <si>
    <t>Beef Necks</t>
  </si>
  <si>
    <t>Tomatoes Wors</t>
  </si>
  <si>
    <t>Grapes</t>
  </si>
  <si>
    <t>Nectarines</t>
  </si>
  <si>
    <t>Parprika</t>
  </si>
  <si>
    <t>Pick 'n Pay</t>
  </si>
  <si>
    <t>65/017248</t>
  </si>
  <si>
    <t>Cooked Ham</t>
  </si>
  <si>
    <t>French Polony</t>
  </si>
  <si>
    <t>Leg Quarter</t>
  </si>
  <si>
    <t>Porter House Steak</t>
  </si>
  <si>
    <t>Bulk Ou Kraal</t>
  </si>
  <si>
    <t>beef Mince</t>
  </si>
  <si>
    <t>Commercial Fisheries</t>
  </si>
  <si>
    <t>Wholesaler</t>
  </si>
  <si>
    <t>68/017357</t>
  </si>
  <si>
    <t>Hake Fillet</t>
  </si>
  <si>
    <t>Just Bread</t>
  </si>
  <si>
    <t>66/017279</t>
  </si>
  <si>
    <t>Impact Cement</t>
  </si>
  <si>
    <t>Cement Importer</t>
  </si>
  <si>
    <t>66/017280</t>
  </si>
  <si>
    <t>Falcon Cement</t>
  </si>
  <si>
    <t>Nestle SA</t>
  </si>
  <si>
    <t>E Mark</t>
  </si>
  <si>
    <t>66/017281</t>
  </si>
  <si>
    <t>Chocolate Bars</t>
  </si>
  <si>
    <t xml:space="preserve">Candy Tops </t>
  </si>
  <si>
    <t>66/017283</t>
  </si>
  <si>
    <t>Sugar Confectionary</t>
  </si>
  <si>
    <t>Elvin Group (Pty)Ltd</t>
  </si>
  <si>
    <t>66/017282</t>
  </si>
  <si>
    <t>Mague</t>
  </si>
  <si>
    <t>Fruit Juice</t>
  </si>
  <si>
    <t>White Vinegar</t>
  </si>
  <si>
    <t>Boxer Supermarket</t>
  </si>
  <si>
    <t>65/017352</t>
  </si>
  <si>
    <t>Raisen Bread</t>
  </si>
  <si>
    <t>Pick 'n pay Central park</t>
  </si>
  <si>
    <t>Shoprite Rocklands</t>
  </si>
  <si>
    <t>Wholewheat Bread</t>
  </si>
  <si>
    <t>Globake Bakery</t>
  </si>
  <si>
    <t>Kenworth Super Spar</t>
  </si>
  <si>
    <t>Navilhill Spar</t>
  </si>
  <si>
    <t>Baysvillage Kwik Spar</t>
  </si>
  <si>
    <t>Itau Supabake Bakery</t>
  </si>
  <si>
    <t>Shoprite Taung</t>
  </si>
  <si>
    <t>FS2011/39/013093</t>
  </si>
  <si>
    <t>FS2011/39/0130094</t>
  </si>
  <si>
    <t>Shoprite Ganyesa</t>
  </si>
  <si>
    <t>FS2011/39/013098</t>
  </si>
  <si>
    <t>Shoprite Vryburg</t>
  </si>
  <si>
    <t>FS2011/34/013892</t>
  </si>
  <si>
    <t>Vryburg Spar</t>
  </si>
  <si>
    <t>FS2011/34/013893</t>
  </si>
  <si>
    <t>Pick 'n Pay Vryburg</t>
  </si>
  <si>
    <t>FS2011/34/013894</t>
  </si>
  <si>
    <t>Adolene Bakery</t>
  </si>
  <si>
    <t>FS2011/34/013895</t>
  </si>
  <si>
    <t>FS2011/34/013896</t>
  </si>
  <si>
    <t>Pick n' Pay Showgrounds</t>
  </si>
  <si>
    <t>FS2011/38/013980</t>
  </si>
  <si>
    <t>bread</t>
  </si>
  <si>
    <t>Checkers Hyper</t>
  </si>
  <si>
    <t>FS2011/38/013981</t>
  </si>
  <si>
    <t>Fauna Saverite Supermarket</t>
  </si>
  <si>
    <t>FS2011/38/013982</t>
  </si>
  <si>
    <t>Pick n' Pay Hypermarket</t>
  </si>
  <si>
    <t>FS2011/38/013983</t>
  </si>
  <si>
    <t>Ons Bakery</t>
  </si>
  <si>
    <t>FS2011/38/013984</t>
  </si>
  <si>
    <t>OK Grocer Pellisier</t>
  </si>
  <si>
    <t>FS2011/38/013985</t>
  </si>
  <si>
    <t>Meditas Spar</t>
  </si>
  <si>
    <t>FS2011/38/013986</t>
  </si>
  <si>
    <t>Universitas Spar</t>
  </si>
  <si>
    <t>FS2011/38/013987</t>
  </si>
  <si>
    <t>FS2011/38</t>
  </si>
  <si>
    <t>Pick n' Pay Brandwag</t>
  </si>
  <si>
    <t>FS2011/38/013992</t>
  </si>
  <si>
    <t>Rolina Stores</t>
  </si>
  <si>
    <t>FS2011/38/013993</t>
  </si>
  <si>
    <t>Checkers LHP</t>
  </si>
  <si>
    <t>FS2011/38/013995</t>
  </si>
  <si>
    <t>Zimi Bakery</t>
  </si>
  <si>
    <t>FS2011/38/013996</t>
  </si>
  <si>
    <t>Pick n' Pay (LHP)</t>
  </si>
  <si>
    <t>FS2011/38/013997</t>
  </si>
  <si>
    <t>Spar langenhovenpark</t>
  </si>
  <si>
    <t>FS2011/38/013998</t>
  </si>
  <si>
    <t>Food lovers Market</t>
  </si>
  <si>
    <t>Fruit &amp; Vegs Retailer</t>
  </si>
  <si>
    <t>FS2011/38/013999</t>
  </si>
  <si>
    <t>Emily Supermarket</t>
  </si>
  <si>
    <t>FS2011/38/014000</t>
  </si>
  <si>
    <t>Tweespruit Mills</t>
  </si>
  <si>
    <t>FS2012/50/014141</t>
  </si>
  <si>
    <t>Super maize meal 2,5kg</t>
  </si>
  <si>
    <t>Super maize meal 5kg</t>
  </si>
  <si>
    <t>Super maize meal 10kg</t>
  </si>
  <si>
    <t>Bultfontein Meule</t>
  </si>
  <si>
    <t>FS2012/50/014142</t>
  </si>
  <si>
    <t>Special maize meal 2,5kg</t>
  </si>
  <si>
    <t>Special maize meal 5kg</t>
  </si>
  <si>
    <t>Sifted maize meal 10kg</t>
  </si>
  <si>
    <t>Sifted maize meal 12,5kg</t>
  </si>
  <si>
    <t>Butterfield  Lazmin</t>
  </si>
  <si>
    <t>PB132/22676</t>
  </si>
  <si>
    <t>brown bread</t>
  </si>
  <si>
    <t>Elandshoek Dairy</t>
  </si>
  <si>
    <t>Dairy</t>
  </si>
  <si>
    <t>PB132/22678</t>
  </si>
  <si>
    <t>Willowvalley farm litchi juice</t>
  </si>
  <si>
    <t>Hyper save meat Market</t>
  </si>
  <si>
    <t>Die Plaasstal</t>
  </si>
  <si>
    <t>PB132/22672</t>
  </si>
  <si>
    <t>Die Plaasstal Orange/Apple</t>
  </si>
  <si>
    <t>Die Plaasstal Apple juice</t>
  </si>
  <si>
    <t>Patel Bakery</t>
  </si>
  <si>
    <t>Godrich Flour Mills</t>
  </si>
  <si>
    <t>PB132/22671</t>
  </si>
  <si>
    <t>Superrich Super Maize Meal</t>
  </si>
  <si>
    <t>BothaRoodt</t>
  </si>
  <si>
    <t>Inkunzi Milky way</t>
  </si>
  <si>
    <t>PB132/22670</t>
  </si>
  <si>
    <t>Agrshire Fat free fresh Milk</t>
  </si>
  <si>
    <t>Nkunzi orange nectar</t>
  </si>
  <si>
    <t>The Snack Factory</t>
  </si>
  <si>
    <t>PB132/22675</t>
  </si>
  <si>
    <t>Snack Factory peanuts and raisons Salted</t>
  </si>
  <si>
    <t xml:space="preserve">Snack Factory peanuts peri </t>
  </si>
  <si>
    <t>Highveld Bakery</t>
  </si>
  <si>
    <t>PB132/22688</t>
  </si>
  <si>
    <t>Dasilver Supermarket</t>
  </si>
  <si>
    <t>PB132/22696</t>
  </si>
  <si>
    <t>Drieft Butchery</t>
  </si>
  <si>
    <t>Retailer</t>
  </si>
  <si>
    <t>PB132/22692</t>
  </si>
  <si>
    <t>Boere wors</t>
  </si>
  <si>
    <t>T-bone steak</t>
  </si>
  <si>
    <t>Mahomed Bakery</t>
  </si>
  <si>
    <t>PB132/22693</t>
  </si>
  <si>
    <t>Weskor</t>
  </si>
  <si>
    <t>PB126/22347</t>
  </si>
  <si>
    <t>Khula Special</t>
  </si>
  <si>
    <t>Khula Super</t>
  </si>
  <si>
    <t>Super Spar Makhado</t>
  </si>
  <si>
    <t>PB131/22611</t>
  </si>
  <si>
    <t>Spar Bread</t>
  </si>
  <si>
    <t>Super Spar Elim</t>
  </si>
  <si>
    <t>PB131/22616</t>
  </si>
  <si>
    <t>Spar Vuwani</t>
  </si>
  <si>
    <t>PB131/22615</t>
  </si>
  <si>
    <t>Spar Tshakhuma</t>
  </si>
  <si>
    <t>PB131/22618</t>
  </si>
  <si>
    <t>Pick n Pay Sherwood</t>
  </si>
  <si>
    <t>PB131/22603</t>
  </si>
  <si>
    <t>Pick n Pay Bread</t>
  </si>
  <si>
    <t>Spar Post office</t>
  </si>
  <si>
    <t>PB131/22602</t>
  </si>
  <si>
    <t>Ndaa Bakery</t>
  </si>
  <si>
    <t>PB126/22346</t>
  </si>
  <si>
    <t>Ndaa Bakery Bread</t>
  </si>
  <si>
    <t>Crown Bakery</t>
  </si>
  <si>
    <t>PB126/22343</t>
  </si>
  <si>
    <t>Crown Bakery Bread</t>
  </si>
  <si>
    <t>Pick n Pay Carnival mall</t>
  </si>
  <si>
    <t>PB126/22349</t>
  </si>
  <si>
    <t>Fresh Loaf Bakery</t>
  </si>
  <si>
    <t>PB126/22345</t>
  </si>
  <si>
    <t>Fresh Bekery Bread</t>
  </si>
  <si>
    <t>Check out Thohoyandou</t>
  </si>
  <si>
    <t>PB126/22339</t>
  </si>
  <si>
    <t>white Bread</t>
  </si>
  <si>
    <t>Spar Sibasa</t>
  </si>
  <si>
    <t>PB126/22342</t>
  </si>
  <si>
    <t xml:space="preserve">Perry's Supermarket </t>
  </si>
  <si>
    <t xml:space="preserve">Supermarket </t>
  </si>
  <si>
    <t>PB131/22604</t>
  </si>
  <si>
    <t>Pick n Pay hyper montana</t>
  </si>
  <si>
    <t>pb130/22578</t>
  </si>
  <si>
    <t>pick n pay hyper montana meat market</t>
  </si>
  <si>
    <t>pb130/22579</t>
  </si>
  <si>
    <t>bulk pork chops</t>
  </si>
  <si>
    <t>beef potjiekos</t>
  </si>
  <si>
    <t>bulk lamb chops</t>
  </si>
  <si>
    <t>beef goulash</t>
  </si>
  <si>
    <t>Pick n pay family montana</t>
  </si>
  <si>
    <t>pb130/22580</t>
  </si>
  <si>
    <t>pick npay family montana meat market</t>
  </si>
  <si>
    <t>pb130/22581</t>
  </si>
  <si>
    <t>prime ribs beef</t>
  </si>
  <si>
    <t>beef mince</t>
  </si>
  <si>
    <t>bulk beef stew</t>
  </si>
  <si>
    <t>picknpay sinoville</t>
  </si>
  <si>
    <t>pb130/22582</t>
  </si>
  <si>
    <t>picknpay sinoville meat market</t>
  </si>
  <si>
    <t>pb130/22583</t>
  </si>
  <si>
    <t>bulk stew beef</t>
  </si>
  <si>
    <t>beef brisket</t>
  </si>
  <si>
    <t>checkers hyper montana</t>
  </si>
  <si>
    <t>pb130/22584</t>
  </si>
  <si>
    <t>chekers hyper montana meat market</t>
  </si>
  <si>
    <t>pb130/22585</t>
  </si>
  <si>
    <t>pork pack</t>
  </si>
  <si>
    <t>stewing beef</t>
  </si>
  <si>
    <t>lean beef mince</t>
  </si>
  <si>
    <t>traditional boerewors</t>
  </si>
  <si>
    <t>beef short rib</t>
  </si>
  <si>
    <t>Sinoville Vleis Maark</t>
  </si>
  <si>
    <t>pb130/22586</t>
  </si>
  <si>
    <t>bee lewer koekies</t>
  </si>
  <si>
    <t>skaap sterte</t>
  </si>
  <si>
    <t>bees lewer</t>
  </si>
  <si>
    <t>bees burger</t>
  </si>
  <si>
    <t>hookai Vleis Maark</t>
  </si>
  <si>
    <t>pb130/22587</t>
  </si>
  <si>
    <t>top maalvleis</t>
  </si>
  <si>
    <t>ouma boerewors</t>
  </si>
  <si>
    <t>Montana Super Spar</t>
  </si>
  <si>
    <t>pb130/22588</t>
  </si>
  <si>
    <t>lamb rib chops</t>
  </si>
  <si>
    <t>wild pork rib chops</t>
  </si>
  <si>
    <t>eland blade steak</t>
  </si>
  <si>
    <t>beef braai meat</t>
  </si>
  <si>
    <t>beef bult t bone</t>
  </si>
  <si>
    <t>bulk beef shin</t>
  </si>
  <si>
    <t>pb130/22589</t>
  </si>
  <si>
    <t>butternet 1/2</t>
  </si>
  <si>
    <t>sweet potatoes loose</t>
  </si>
  <si>
    <t>tomatoes loose</t>
  </si>
  <si>
    <t>freshline peeled onions</t>
  </si>
  <si>
    <t>freshline carrots</t>
  </si>
  <si>
    <t>Afgri Milling Ermelo</t>
  </si>
  <si>
    <t>PB129/22458</t>
  </si>
  <si>
    <t>Girafa Fine Yellow Maiize Meal</t>
  </si>
  <si>
    <t>Girafa Fine White Maiize Meal</t>
  </si>
  <si>
    <t>Simnandzi Baakery</t>
  </si>
  <si>
    <t>PB128/22442</t>
  </si>
  <si>
    <t>Pick n Pay Woodmead</t>
  </si>
  <si>
    <t>PC146/21969</t>
  </si>
  <si>
    <t>Pick n Pay Gallo Manor</t>
  </si>
  <si>
    <t>PC146/21970</t>
  </si>
  <si>
    <t>Pick n Pay Fourways</t>
  </si>
  <si>
    <t>PC146/21972</t>
  </si>
  <si>
    <t>Checkers fourways</t>
  </si>
  <si>
    <t>PC 146/21973</t>
  </si>
  <si>
    <t>Milk Bread</t>
  </si>
  <si>
    <t>Pick n Pay Lonhill</t>
  </si>
  <si>
    <t>PC146/21974</t>
  </si>
  <si>
    <t>Spar Lensaria</t>
  </si>
  <si>
    <t>PC146/21976</t>
  </si>
  <si>
    <t>Pick n Pay Cedar Square</t>
  </si>
  <si>
    <t>PC 146/21977</t>
  </si>
  <si>
    <t>Meiringspark Spar</t>
  </si>
  <si>
    <t>Supermarkrt</t>
  </si>
  <si>
    <t>PC 146/21978</t>
  </si>
  <si>
    <t>Staters Foods</t>
  </si>
  <si>
    <t>PC 146/21979</t>
  </si>
  <si>
    <t>St Michels Spar</t>
  </si>
  <si>
    <t>PC 146/21980</t>
  </si>
  <si>
    <t>Sasco Grain( re visit)</t>
  </si>
  <si>
    <t>PC146/21981</t>
  </si>
  <si>
    <t>White Star Maize Meal</t>
  </si>
  <si>
    <t>Reitfontein Diary (re visit)</t>
  </si>
  <si>
    <t>Diary</t>
  </si>
  <si>
    <t>PC146/21984</t>
  </si>
  <si>
    <t>Satchet Full Cream</t>
  </si>
  <si>
    <t>Tigane Milling</t>
  </si>
  <si>
    <t>PC146/21985</t>
  </si>
  <si>
    <t>African sun Maize meal</t>
  </si>
  <si>
    <t>Brenner Meule</t>
  </si>
  <si>
    <t>PC146/21986</t>
  </si>
  <si>
    <t>Shaya super maize meal</t>
  </si>
  <si>
    <t>Shaya super maize meal (bag)</t>
  </si>
  <si>
    <t>Chester Milling (re visit)</t>
  </si>
  <si>
    <t>PC146/21987</t>
  </si>
  <si>
    <t>Chester super maize meal</t>
  </si>
  <si>
    <t>Chechers Fourways ( re visit)</t>
  </si>
  <si>
    <t>PC146/21992</t>
  </si>
  <si>
    <t>Pick n Pay Gallo Manor( re visit)</t>
  </si>
  <si>
    <t>PC 146/21993</t>
  </si>
  <si>
    <t>Merrivale Super Spar, Merrivale</t>
  </si>
  <si>
    <t>TM25/108(N)/020500</t>
  </si>
  <si>
    <t>Pork Loin Steak</t>
  </si>
  <si>
    <t>Short Rib</t>
  </si>
  <si>
    <t>Rump Steak</t>
  </si>
  <si>
    <t>White Sandwich Loaves</t>
  </si>
  <si>
    <t>Brown Sandwich Loaves</t>
  </si>
  <si>
    <t>Peel's Honey, Merrivale</t>
  </si>
  <si>
    <t>TM25/109/N)0001</t>
  </si>
  <si>
    <t>Peel's Honey</t>
  </si>
  <si>
    <t>Checkers Margate, Margate</t>
  </si>
  <si>
    <t>TM25/109(N)/0002</t>
  </si>
  <si>
    <t>Pork Rib Chops</t>
  </si>
  <si>
    <t>Natural Lamb Knuckles</t>
  </si>
  <si>
    <t xml:space="preserve">Groentemark &amp; Bakery Van Wyksvlei </t>
  </si>
  <si>
    <t>S H.1/28</t>
  </si>
  <si>
    <t>n/a</t>
  </si>
  <si>
    <t>"</t>
  </si>
  <si>
    <t>Bread White</t>
  </si>
  <si>
    <t>Cornau Handel Van Wyksvlei</t>
  </si>
  <si>
    <t>SH.1/29</t>
  </si>
  <si>
    <t>Medium Large Bags of Potatoes</t>
  </si>
  <si>
    <t>Large Bags of Potatoes</t>
  </si>
  <si>
    <t>Dorperland Slaghuis Van Wyksvlei</t>
  </si>
  <si>
    <t>SH.1/30</t>
  </si>
  <si>
    <t>Red Viennas</t>
  </si>
  <si>
    <t>Russians</t>
  </si>
  <si>
    <t>Mutton Packs</t>
  </si>
  <si>
    <t>Van Wyksvlei Vleismark Van Wyksvlei</t>
  </si>
  <si>
    <t>SH.1/31</t>
  </si>
  <si>
    <t>Lamboud</t>
  </si>
  <si>
    <t>Lamstowe</t>
  </si>
  <si>
    <t>Mince</t>
  </si>
  <si>
    <t>Karoo Vleisboere Co-op Vosburg</t>
  </si>
  <si>
    <t>SH.1/34</t>
  </si>
  <si>
    <t>Boerewors</t>
  </si>
  <si>
    <t>Beef Mince</t>
  </si>
  <si>
    <t>Rick Shop &amp; Bakery Loxton</t>
  </si>
  <si>
    <t>SH.1/35</t>
  </si>
  <si>
    <t>Carnarvon Supermark &amp; Bakery Carnarvon</t>
  </si>
  <si>
    <t>SH.1/39</t>
  </si>
  <si>
    <t xml:space="preserve">Sans </t>
  </si>
  <si>
    <t>458/4.6.1(b)</t>
  </si>
  <si>
    <t>JD Hotstuff Carnarvon</t>
  </si>
  <si>
    <t>SH.1/40</t>
  </si>
  <si>
    <t>Groeimeel</t>
  </si>
  <si>
    <t>Hoender Mix</t>
  </si>
  <si>
    <t>Mielies</t>
  </si>
  <si>
    <t>Budgie</t>
  </si>
  <si>
    <t>Mieliemeel</t>
  </si>
  <si>
    <t>Sonneblom</t>
  </si>
  <si>
    <t>Breco Pty Ltd Montague Gardens</t>
  </si>
  <si>
    <t>Importer</t>
  </si>
  <si>
    <t>SH.1/42</t>
  </si>
  <si>
    <t>Crumbed Squid Strips</t>
  </si>
  <si>
    <t>Pick &amp; Pay FDC Airport Indust</t>
  </si>
  <si>
    <t>SH.1/43</t>
  </si>
  <si>
    <t>Green Olives</t>
  </si>
  <si>
    <t>Olive Oil</t>
  </si>
  <si>
    <t>S E Prinsloo:</t>
  </si>
  <si>
    <t>Sea Harvest Saldanha</t>
  </si>
  <si>
    <t>SP.1/A42</t>
  </si>
  <si>
    <t>Frozen Whole Squid</t>
  </si>
  <si>
    <t>Garon Foods Killarney Gardens</t>
  </si>
  <si>
    <t>SP.1/A43</t>
  </si>
  <si>
    <t>Haddock en Croute</t>
  </si>
  <si>
    <t>SP.1/A45</t>
  </si>
  <si>
    <t>Alpha Saamtrek Bakery Port Nolloth</t>
  </si>
  <si>
    <t>SP.1/A48</t>
  </si>
  <si>
    <t>White Bread</t>
  </si>
  <si>
    <t>Shoprite Checkers FDC Brackenfell</t>
  </si>
  <si>
    <t>SP.2A1</t>
  </si>
  <si>
    <t>Smoked Kipper Fillets</t>
  </si>
  <si>
    <t>SP.2/A3</t>
  </si>
  <si>
    <t>Squid Rings</t>
  </si>
  <si>
    <t>Snack A Tac Blackheath</t>
  </si>
  <si>
    <t>SP.2/A4</t>
  </si>
  <si>
    <t>Jungle Naks BBQ</t>
  </si>
  <si>
    <t>Snack A Tac Tomato</t>
  </si>
  <si>
    <t>Snack A Tac Beef</t>
  </si>
  <si>
    <t>Snack A Tac Chicken</t>
  </si>
  <si>
    <t>Snack A Tac Fruit Chutney</t>
  </si>
  <si>
    <t>Snack A Tac Cheese</t>
  </si>
  <si>
    <t>Gourmet Coffee Roasters Saxenburg</t>
  </si>
  <si>
    <t>SP.2/A5</t>
  </si>
  <si>
    <t>Drinking Chocolate</t>
  </si>
  <si>
    <t>White Chocolate</t>
  </si>
  <si>
    <t>Hazz</t>
  </si>
  <si>
    <t>Checkers Meadowridge</t>
  </si>
  <si>
    <t>CS 1/041</t>
  </si>
  <si>
    <t>Elim Frankfurters</t>
  </si>
  <si>
    <t>Chicken Breast Fillet</t>
  </si>
  <si>
    <t>Shoprite Ceres</t>
  </si>
  <si>
    <t>CS 1/042</t>
  </si>
  <si>
    <t>Lean Beef Mince</t>
  </si>
  <si>
    <t>Dhania Sausage</t>
  </si>
  <si>
    <t>Beef Burger</t>
  </si>
  <si>
    <t>OK Value Ceres</t>
  </si>
  <si>
    <t>CS 1/047</t>
  </si>
  <si>
    <t>BBQ Garlic LMN</t>
  </si>
  <si>
    <t>Kalahari BW</t>
  </si>
  <si>
    <t>Lean Mince</t>
  </si>
  <si>
    <t>Family Food &amp; Meat Market</t>
  </si>
  <si>
    <t>CS 1/048</t>
  </si>
  <si>
    <t>Smoked Viennas</t>
  </si>
  <si>
    <t>Liebco Braai</t>
  </si>
  <si>
    <t>Breakfast Mix Fry</t>
  </si>
  <si>
    <t>Kekkel &amp; Kraai</t>
  </si>
  <si>
    <t>CS 2/004</t>
  </si>
  <si>
    <t>Hoender 10 stuk Braai</t>
  </si>
  <si>
    <t>Hoender Special Braai</t>
  </si>
  <si>
    <t>DC Meat Market</t>
  </si>
  <si>
    <t>CS 2/006</t>
  </si>
  <si>
    <t>Braaiwors Hugenot</t>
  </si>
  <si>
    <t>World Cup Braaiwors</t>
  </si>
  <si>
    <t>Freezerland</t>
  </si>
  <si>
    <t>Distributer</t>
  </si>
  <si>
    <t>CS 2/007</t>
  </si>
  <si>
    <t>Chicken Kiev</t>
  </si>
  <si>
    <t>Crumbed Hake Fillets</t>
  </si>
  <si>
    <t>Crumbed Chicken Schnitzel</t>
  </si>
  <si>
    <t>Checkers Plumstead</t>
  </si>
  <si>
    <t>CS 2/013</t>
  </si>
  <si>
    <t>Lamb Leg Chops</t>
  </si>
  <si>
    <t>Lamb Riblets</t>
  </si>
  <si>
    <t>Lamb Rib Chops</t>
  </si>
  <si>
    <t>Stewing Lamb</t>
  </si>
  <si>
    <t>Stewing Pork</t>
  </si>
  <si>
    <t>Pork Neck Chops</t>
  </si>
  <si>
    <t>HM Tradit E</t>
  </si>
  <si>
    <t>HM Shlder E</t>
  </si>
  <si>
    <t>HM Hickry E</t>
  </si>
  <si>
    <t>Distell Adam Tas</t>
  </si>
  <si>
    <t>IA 1-046</t>
  </si>
  <si>
    <t>Drostdy Hof Premier Grand Cru</t>
  </si>
  <si>
    <t>Drostdy Hof Chardonnay Viogner 2012</t>
  </si>
  <si>
    <t>Distell Greenpark</t>
  </si>
  <si>
    <t>IA 1-047</t>
  </si>
  <si>
    <t>Amarula Cream Liquor Lot number-LG 312C13</t>
  </si>
  <si>
    <t>Distell JC Le Roux</t>
  </si>
  <si>
    <t>IA 1-49</t>
  </si>
  <si>
    <t>JC Le Roux - Naturally Lively White</t>
  </si>
  <si>
    <t>Chamdor Sparkling Grape Sampled Between 10H40 &amp; 11H40</t>
  </si>
  <si>
    <t>Distell Stellenzicht</t>
  </si>
  <si>
    <t>IA 1-50</t>
  </si>
  <si>
    <t>Alto Rouge 2010 - Red Wine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</si>
</sst>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R&quot;\ #,##0.00;[Red]&quot;R&quot;\ \-#,##0.00"/>
    <numFmt numFmtId="164" formatCode="_(&quot;$&quot;* #,##0.00_);_(&quot;$&quot;* \(#,##0.00\);_(&quot;$&quot;* &quot;-&quot;??_);_(@_)"/>
    <numFmt numFmtId="165" formatCode="_(* #,##0.00_);_(* \(#,##0.00\);_(* &quot;-&quot;??_);_(@_)"/>
    <numFmt numFmtId="166" formatCode="&quot;R&quot;\ #,##0.00"/>
    <numFmt numFmtId="167" formatCode="_ [$R-1C09]\ * #,##0.00_ ;_ [$R-1C09]\ * \-#,##0.00_ ;_ [$R-1C09]\ * &quot;-&quot;??_ ;_ @_ "/>
    <numFmt numFmtId="168" formatCode="_(* #,##0_);_(* \(#,##0\);_(* &quot;-&quot;??_);_(@_)"/>
  </numFmts>
  <fonts count="2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2"/>
      <name val="Arial"/>
      <family val="2"/>
    </font>
    <font>
      <b/>
      <u/>
      <sz val="12"/>
      <name val="Arial"/>
      <family val="2"/>
    </font>
    <font>
      <b/>
      <sz val="12"/>
      <name val="Arial"/>
      <family val="2"/>
    </font>
    <font>
      <sz val="10"/>
      <name val="Arial"/>
      <family val="2"/>
    </font>
    <font>
      <sz val="8"/>
      <name val="Arial"/>
      <family val="2"/>
    </font>
    <font>
      <sz val="9"/>
      <name val="Arial"/>
      <family val="2"/>
    </font>
    <font>
      <sz val="8"/>
      <name val="Times New Roman"/>
      <family val="1"/>
    </font>
    <font>
      <b/>
      <sz val="10"/>
      <name val="Arial"/>
      <family val="2"/>
    </font>
    <font>
      <b/>
      <sz val="12"/>
      <name val="Arial Narrow"/>
      <family val="2"/>
    </font>
    <font>
      <sz val="10"/>
      <name val="Calibri"/>
      <family val="2"/>
      <scheme val="minor"/>
    </font>
    <font>
      <sz val="8.5"/>
      <color theme="1"/>
      <name val="Arial"/>
      <family val="2"/>
    </font>
    <font>
      <b/>
      <sz val="10"/>
      <name val="Calibri"/>
      <family val="2"/>
      <scheme val="minor"/>
    </font>
    <font>
      <sz val="10"/>
      <color theme="1"/>
      <name val="Calibri"/>
      <family val="2"/>
      <scheme val="minor"/>
    </font>
    <font>
      <vertAlign val="subscript"/>
      <sz val="12"/>
      <color theme="1"/>
      <name val="Arial"/>
      <family val="2"/>
    </font>
    <font>
      <b/>
      <sz val="8"/>
      <color indexed="81"/>
      <name val="Tahoma"/>
      <family val="2"/>
    </font>
    <font>
      <sz val="8"/>
      <color indexed="81"/>
      <name val="Tahoma"/>
      <family val="2"/>
    </font>
    <font>
      <b/>
      <sz val="9"/>
      <color indexed="81"/>
      <name val="Tahoma"/>
      <family val="2"/>
    </font>
    <font>
      <sz val="9"/>
      <color indexed="81"/>
      <name val="Tahoma"/>
      <family val="2"/>
    </font>
    <font>
      <sz val="10"/>
      <color indexed="10"/>
      <name val="Calibri"/>
      <family val="2"/>
    </font>
    <font>
      <sz val="10"/>
      <name val="Times New Roman"/>
      <family val="1"/>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CFFFF"/>
        <bgColor indexed="64"/>
      </patternFill>
    </fill>
    <fill>
      <patternFill patternType="solid">
        <fgColor indexed="41"/>
        <bgColor indexed="64"/>
      </patternFill>
    </fill>
    <fill>
      <patternFill patternType="solid">
        <fgColor indexed="27"/>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164" fontId="1" fillId="0" borderId="0" applyFont="0" applyFill="0" applyBorder="0" applyAlignment="0" applyProtection="0"/>
    <xf numFmtId="165" fontId="1" fillId="0" borderId="0" applyFont="0" applyFill="0" applyBorder="0" applyAlignment="0" applyProtection="0"/>
  </cellStyleXfs>
  <cellXfs count="198">
    <xf numFmtId="0" fontId="0" fillId="0" borderId="0" xfId="0"/>
    <xf numFmtId="0" fontId="4" fillId="0" borderId="0" xfId="0" applyFont="1"/>
    <xf numFmtId="0" fontId="6" fillId="0" borderId="0" xfId="0" applyFont="1" applyAlignment="1">
      <alignment horizontal="left"/>
    </xf>
    <xf numFmtId="0" fontId="6" fillId="0" borderId="0" xfId="0" applyFont="1" applyAlignment="1">
      <alignment horizontal="center"/>
    </xf>
    <xf numFmtId="0" fontId="7" fillId="3" borderId="7" xfId="0" applyFont="1" applyFill="1" applyBorder="1" applyAlignment="1">
      <alignment horizontal="center" textRotation="90" wrapText="1"/>
    </xf>
    <xf numFmtId="0" fontId="7" fillId="3" borderId="8" xfId="0" applyFont="1" applyFill="1" applyBorder="1" applyAlignment="1">
      <alignment wrapText="1"/>
    </xf>
    <xf numFmtId="0" fontId="7" fillId="0" borderId="8" xfId="0" applyFont="1" applyBorder="1" applyAlignment="1">
      <alignment textRotation="90" wrapText="1"/>
    </xf>
    <xf numFmtId="0" fontId="7" fillId="0" borderId="7" xfId="0" applyFont="1" applyBorder="1" applyAlignment="1">
      <alignment textRotation="90" wrapText="1"/>
    </xf>
    <xf numFmtId="0" fontId="7" fillId="0" borderId="2" xfId="0" applyFont="1" applyBorder="1" applyAlignment="1">
      <alignment textRotation="90" wrapText="1"/>
    </xf>
    <xf numFmtId="0" fontId="7" fillId="3" borderId="1" xfId="0" applyFont="1" applyFill="1" applyBorder="1" applyAlignment="1">
      <alignment horizontal="center" textRotation="90" wrapText="1"/>
    </xf>
    <xf numFmtId="0" fontId="7" fillId="3" borderId="8" xfId="0" applyFont="1" applyFill="1" applyBorder="1" applyAlignment="1">
      <alignment horizontal="center" textRotation="90" wrapText="1"/>
    </xf>
    <xf numFmtId="0" fontId="7" fillId="0" borderId="9" xfId="0" applyFont="1" applyBorder="1" applyAlignment="1">
      <alignment textRotation="90" wrapText="1"/>
    </xf>
    <xf numFmtId="0" fontId="0" fillId="0" borderId="0" xfId="0" applyAlignment="1">
      <alignment wrapText="1"/>
    </xf>
    <xf numFmtId="0" fontId="8" fillId="4" borderId="2" xfId="0" applyFont="1" applyFill="1" applyBorder="1" applyAlignment="1">
      <alignment horizontal="center"/>
    </xf>
    <xf numFmtId="0" fontId="8" fillId="4" borderId="2" xfId="0" applyFont="1" applyFill="1" applyBorder="1" applyAlignment="1">
      <alignment horizontal="center" wrapText="1"/>
    </xf>
    <xf numFmtId="0" fontId="8" fillId="4" borderId="2" xfId="0" applyFont="1" applyFill="1" applyBorder="1" applyAlignment="1" applyProtection="1">
      <alignment wrapText="1"/>
    </xf>
    <xf numFmtId="0" fontId="8" fillId="4" borderId="2" xfId="0" applyFont="1" applyFill="1" applyBorder="1" applyAlignment="1" applyProtection="1">
      <alignment horizontal="center" wrapText="1"/>
    </xf>
    <xf numFmtId="2" fontId="8" fillId="4" borderId="2" xfId="0" applyNumberFormat="1" applyFont="1" applyFill="1" applyBorder="1" applyAlignment="1" applyProtection="1">
      <alignment horizontal="center"/>
    </xf>
    <xf numFmtId="166" fontId="10" fillId="4" borderId="2" xfId="0" applyNumberFormat="1" applyFont="1" applyFill="1" applyBorder="1" applyAlignment="1" applyProtection="1">
      <alignment horizontal="center" wrapText="1"/>
    </xf>
    <xf numFmtId="0" fontId="10" fillId="4" borderId="2" xfId="0" applyFont="1" applyFill="1" applyBorder="1" applyAlignment="1" applyProtection="1">
      <alignment horizontal="center" wrapText="1"/>
    </xf>
    <xf numFmtId="0" fontId="8" fillId="0" borderId="0" xfId="0" applyFont="1" applyAlignment="1"/>
    <xf numFmtId="0" fontId="8" fillId="4" borderId="0" xfId="0" applyFont="1" applyFill="1" applyBorder="1" applyAlignment="1">
      <alignment horizontal="center"/>
    </xf>
    <xf numFmtId="0" fontId="8" fillId="4" borderId="0" xfId="0" applyFont="1" applyFill="1" applyBorder="1" applyAlignment="1">
      <alignment horizontal="center" wrapText="1"/>
    </xf>
    <xf numFmtId="0" fontId="8" fillId="4" borderId="0" xfId="0" applyFont="1" applyFill="1" applyBorder="1" applyAlignment="1" applyProtection="1">
      <alignment wrapText="1"/>
    </xf>
    <xf numFmtId="0" fontId="8" fillId="4" borderId="0" xfId="0" applyFont="1" applyFill="1" applyBorder="1" applyAlignment="1" applyProtection="1">
      <alignment horizontal="center" wrapText="1"/>
    </xf>
    <xf numFmtId="2" fontId="8" fillId="4" borderId="0" xfId="0" applyNumberFormat="1" applyFont="1" applyFill="1" applyBorder="1" applyAlignment="1" applyProtection="1">
      <alignment horizontal="center"/>
    </xf>
    <xf numFmtId="1" fontId="8" fillId="4" borderId="0" xfId="0" applyNumberFormat="1" applyFont="1" applyFill="1" applyBorder="1" applyAlignment="1" applyProtection="1">
      <alignment horizontal="center"/>
    </xf>
    <xf numFmtId="166" fontId="10" fillId="4" borderId="0" xfId="0" applyNumberFormat="1" applyFont="1" applyFill="1" applyBorder="1" applyAlignment="1" applyProtection="1">
      <alignment horizontal="center" wrapText="1"/>
    </xf>
    <xf numFmtId="0" fontId="10" fillId="4" borderId="0" xfId="0" applyFont="1" applyFill="1" applyBorder="1" applyAlignment="1" applyProtection="1">
      <alignment horizontal="center" wrapText="1"/>
    </xf>
    <xf numFmtId="4" fontId="8" fillId="4" borderId="0" xfId="0" applyNumberFormat="1" applyFont="1" applyFill="1" applyBorder="1" applyAlignment="1" applyProtection="1">
      <alignment horizontal="center"/>
    </xf>
    <xf numFmtId="4" fontId="10" fillId="4" borderId="0" xfId="0" applyNumberFormat="1" applyFont="1" applyFill="1" applyBorder="1" applyAlignment="1" applyProtection="1">
      <alignment horizontal="center" wrapText="1"/>
    </xf>
    <xf numFmtId="0" fontId="8" fillId="4" borderId="11" xfId="0" applyFont="1" applyFill="1" applyBorder="1" applyAlignment="1">
      <alignment horizontal="center" wrapText="1"/>
    </xf>
    <xf numFmtId="0" fontId="8" fillId="4" borderId="11" xfId="0" applyFont="1" applyFill="1" applyBorder="1" applyAlignment="1" applyProtection="1">
      <alignment wrapText="1"/>
    </xf>
    <xf numFmtId="0" fontId="8" fillId="4" borderId="11" xfId="0" applyFont="1" applyFill="1" applyBorder="1" applyAlignment="1" applyProtection="1">
      <alignment horizontal="center" wrapText="1"/>
    </xf>
    <xf numFmtId="2" fontId="8" fillId="4" borderId="11" xfId="0" applyNumberFormat="1" applyFont="1" applyFill="1" applyBorder="1" applyAlignment="1" applyProtection="1">
      <alignment horizontal="center"/>
    </xf>
    <xf numFmtId="166" fontId="10" fillId="4" borderId="11" xfId="0" applyNumberFormat="1" applyFont="1" applyFill="1" applyBorder="1" applyAlignment="1" applyProtection="1">
      <alignment horizontal="center" wrapText="1"/>
    </xf>
    <xf numFmtId="0" fontId="10" fillId="4" borderId="11" xfId="0" applyFont="1" applyFill="1" applyBorder="1" applyAlignment="1" applyProtection="1">
      <alignment horizontal="center" vertical="top" wrapText="1"/>
    </xf>
    <xf numFmtId="0" fontId="9" fillId="0" borderId="12" xfId="0" applyFont="1" applyFill="1" applyBorder="1" applyAlignment="1" applyProtection="1">
      <alignment wrapText="1"/>
    </xf>
    <xf numFmtId="0" fontId="9" fillId="0" borderId="12" xfId="0" applyFont="1" applyFill="1" applyBorder="1" applyAlignment="1" applyProtection="1">
      <alignment horizontal="center" wrapText="1"/>
    </xf>
    <xf numFmtId="0" fontId="9" fillId="0" borderId="13" xfId="0" applyFont="1" applyFill="1" applyBorder="1" applyAlignment="1" applyProtection="1">
      <alignment horizontal="center" wrapText="1"/>
    </xf>
    <xf numFmtId="2" fontId="8" fillId="0" borderId="12" xfId="0" applyNumberFormat="1" applyFont="1" applyFill="1" applyBorder="1" applyAlignment="1" applyProtection="1">
      <alignment horizontal="center"/>
    </xf>
    <xf numFmtId="0" fontId="10" fillId="0" borderId="12" xfId="0" applyFont="1" applyFill="1" applyBorder="1" applyAlignment="1" applyProtection="1">
      <alignment horizontal="center" wrapText="1"/>
    </xf>
    <xf numFmtId="0" fontId="9" fillId="0" borderId="15" xfId="0" applyFont="1" applyFill="1" applyBorder="1" applyAlignment="1" applyProtection="1">
      <alignment wrapText="1"/>
    </xf>
    <xf numFmtId="0" fontId="9" fillId="0" borderId="15" xfId="0" applyFont="1" applyFill="1" applyBorder="1" applyAlignment="1" applyProtection="1">
      <alignment horizontal="center" wrapText="1"/>
    </xf>
    <xf numFmtId="2" fontId="8" fillId="0" borderId="16" xfId="0" applyNumberFormat="1" applyFont="1" applyFill="1" applyBorder="1" applyAlignment="1" applyProtection="1">
      <alignment horizontal="center"/>
    </xf>
    <xf numFmtId="2" fontId="8" fillId="0" borderId="15" xfId="0" applyNumberFormat="1" applyFont="1" applyFill="1" applyBorder="1" applyAlignment="1" applyProtection="1">
      <alignment horizontal="center"/>
    </xf>
    <xf numFmtId="0" fontId="10" fillId="0" borderId="15" xfId="0" applyFont="1" applyFill="1" applyBorder="1" applyAlignment="1" applyProtection="1">
      <alignment horizontal="center" wrapText="1"/>
    </xf>
    <xf numFmtId="0" fontId="10" fillId="0" borderId="17" xfId="0" applyFont="1" applyFill="1" applyBorder="1" applyAlignment="1" applyProtection="1">
      <alignment horizontal="center" wrapText="1"/>
    </xf>
    <xf numFmtId="0" fontId="0" fillId="0" borderId="0" xfId="0" applyFill="1"/>
    <xf numFmtId="0" fontId="11" fillId="2" borderId="11" xfId="0" applyFont="1" applyFill="1" applyBorder="1" applyAlignment="1">
      <alignment horizontal="center" textRotation="90"/>
    </xf>
    <xf numFmtId="0" fontId="9" fillId="2" borderId="11" xfId="0" applyFont="1" applyFill="1" applyBorder="1"/>
    <xf numFmtId="0" fontId="9" fillId="5" borderId="0" xfId="0" applyFont="1" applyFill="1" applyBorder="1"/>
    <xf numFmtId="0" fontId="12" fillId="0" borderId="0" xfId="0" applyFont="1" applyBorder="1" applyAlignment="1">
      <alignment vertical="top" wrapText="1"/>
    </xf>
    <xf numFmtId="167" fontId="0" fillId="0" borderId="0" xfId="1" applyNumberFormat="1" applyFont="1" applyAlignment="1"/>
    <xf numFmtId="2" fontId="0" fillId="0" borderId="0" xfId="0" applyNumberFormat="1"/>
    <xf numFmtId="166" fontId="0" fillId="0" borderId="0" xfId="0" applyNumberFormat="1"/>
    <xf numFmtId="8" fontId="0" fillId="0" borderId="0" xfId="0" applyNumberFormat="1"/>
    <xf numFmtId="8" fontId="0" fillId="0" borderId="0" xfId="0" applyNumberFormat="1" applyBorder="1" applyAlignment="1" applyProtection="1">
      <alignment horizontal="center"/>
      <protection locked="0"/>
    </xf>
    <xf numFmtId="0" fontId="2" fillId="0" borderId="0" xfId="0" applyFont="1"/>
    <xf numFmtId="0" fontId="14" fillId="0" borderId="24" xfId="0" applyFont="1" applyFill="1" applyBorder="1" applyAlignment="1">
      <alignment vertical="center"/>
    </xf>
    <xf numFmtId="0" fontId="15" fillId="0" borderId="24" xfId="0" applyFont="1" applyFill="1" applyBorder="1" applyAlignment="1"/>
    <xf numFmtId="0" fontId="16" fillId="0" borderId="24" xfId="0" applyFont="1" applyFill="1" applyBorder="1" applyAlignment="1"/>
    <xf numFmtId="0" fontId="13" fillId="0" borderId="24" xfId="0" applyFont="1" applyFill="1" applyBorder="1" applyAlignment="1" applyProtection="1">
      <protection locked="0"/>
    </xf>
    <xf numFmtId="0" fontId="13" fillId="0" borderId="0" xfId="0" applyFont="1" applyFill="1" applyBorder="1" applyAlignment="1" applyProtection="1">
      <protection locked="0"/>
    </xf>
    <xf numFmtId="0" fontId="14" fillId="0" borderId="0" xfId="0" applyFont="1" applyFill="1" applyBorder="1" applyAlignment="1">
      <alignment vertical="center"/>
    </xf>
    <xf numFmtId="0" fontId="15" fillId="0" borderId="0" xfId="0" applyFont="1" applyFill="1" applyBorder="1" applyAlignment="1"/>
    <xf numFmtId="0" fontId="16" fillId="0" borderId="0" xfId="0" applyFont="1" applyFill="1" applyBorder="1" applyAlignment="1"/>
    <xf numFmtId="0" fontId="13" fillId="0" borderId="0" xfId="0" applyFont="1" applyFill="1" applyBorder="1" applyAlignment="1"/>
    <xf numFmtId="0" fontId="17" fillId="0" borderId="0" xfId="0" applyFont="1" applyFill="1" applyBorder="1" applyAlignment="1">
      <alignment vertical="center"/>
    </xf>
    <xf numFmtId="0" fontId="0" fillId="0" borderId="0" xfId="0" applyBorder="1" applyAlignment="1"/>
    <xf numFmtId="0" fontId="0" fillId="0" borderId="24" xfId="0" applyBorder="1" applyAlignment="1"/>
    <xf numFmtId="0" fontId="0" fillId="0" borderId="14" xfId="0" applyBorder="1" applyAlignment="1"/>
    <xf numFmtId="0" fontId="0" fillId="0" borderId="0" xfId="0" applyAlignment="1">
      <alignment horizontal="center"/>
    </xf>
    <xf numFmtId="2" fontId="0" fillId="0" borderId="0" xfId="0" applyNumberFormat="1" applyAlignment="1">
      <alignment horizontal="center"/>
    </xf>
    <xf numFmtId="166" fontId="0" fillId="0" borderId="0" xfId="0" applyNumberFormat="1" applyAlignment="1">
      <alignment horizontal="center"/>
    </xf>
    <xf numFmtId="8" fontId="0" fillId="0" borderId="0" xfId="0" applyNumberFormat="1" applyAlignment="1">
      <alignment horizontal="center"/>
    </xf>
    <xf numFmtId="167" fontId="0" fillId="0" borderId="0" xfId="0" applyNumberFormat="1"/>
    <xf numFmtId="0" fontId="3" fillId="0" borderId="0" xfId="0" applyFont="1"/>
    <xf numFmtId="168" fontId="0" fillId="0" borderId="0" xfId="2" applyNumberFormat="1" applyFont="1" applyAlignment="1"/>
    <xf numFmtId="2" fontId="8" fillId="0" borderId="14" xfId="0" applyNumberFormat="1" applyFont="1" applyFill="1" applyBorder="1" applyAlignment="1" applyProtection="1">
      <alignment horizontal="center"/>
    </xf>
    <xf numFmtId="0" fontId="10" fillId="0" borderId="13" xfId="0" applyFont="1" applyFill="1" applyBorder="1" applyAlignment="1" applyProtection="1">
      <alignment horizontal="center" wrapText="1"/>
    </xf>
    <xf numFmtId="4" fontId="10" fillId="4" borderId="2" xfId="0" applyNumberFormat="1" applyFont="1" applyFill="1" applyBorder="1" applyAlignment="1" applyProtection="1">
      <alignment horizontal="center" wrapText="1"/>
    </xf>
    <xf numFmtId="4" fontId="8" fillId="4" borderId="2" xfId="0" applyNumberFormat="1" applyFont="1" applyFill="1" applyBorder="1" applyAlignment="1" applyProtection="1">
      <alignment horizontal="center"/>
    </xf>
    <xf numFmtId="4" fontId="8" fillId="4" borderId="3" xfId="0" applyNumberFormat="1" applyFont="1" applyFill="1" applyBorder="1" applyAlignment="1" applyProtection="1">
      <alignment horizontal="center"/>
    </xf>
    <xf numFmtId="4" fontId="8" fillId="4" borderId="5" xfId="0" applyNumberFormat="1" applyFont="1" applyFill="1" applyBorder="1" applyAlignment="1" applyProtection="1">
      <alignment horizontal="center"/>
    </xf>
    <xf numFmtId="167" fontId="0" fillId="0" borderId="20" xfId="0" applyNumberFormat="1" applyBorder="1"/>
    <xf numFmtId="0" fontId="4" fillId="0" borderId="0" xfId="0" applyFont="1" applyAlignment="1">
      <alignment horizontal="left"/>
    </xf>
    <xf numFmtId="0" fontId="9" fillId="4" borderId="0" xfId="0" applyFont="1" applyFill="1" applyBorder="1" applyAlignment="1" applyProtection="1">
      <alignment horizontal="left"/>
    </xf>
    <xf numFmtId="0" fontId="9" fillId="4" borderId="11" xfId="0" applyFont="1" applyFill="1" applyBorder="1" applyAlignment="1" applyProtection="1">
      <alignment horizontal="left"/>
    </xf>
    <xf numFmtId="0" fontId="9" fillId="2" borderId="11" xfId="0" applyFont="1" applyFill="1" applyBorder="1" applyAlignment="1">
      <alignment horizontal="left"/>
    </xf>
    <xf numFmtId="0" fontId="0" fillId="0" borderId="0" xfId="0" applyAlignment="1">
      <alignment horizontal="left"/>
    </xf>
    <xf numFmtId="0" fontId="0" fillId="0" borderId="23" xfId="0" applyFill="1" applyBorder="1" applyAlignment="1">
      <alignment horizontal="left"/>
    </xf>
    <xf numFmtId="0" fontId="2" fillId="0" borderId="0" xfId="0" applyFont="1" applyFill="1" applyBorder="1" applyAlignment="1">
      <alignment horizontal="left"/>
    </xf>
    <xf numFmtId="0" fontId="0" fillId="0" borderId="0" xfId="0" applyFill="1" applyBorder="1" applyAlignment="1">
      <alignment horizontal="left"/>
    </xf>
    <xf numFmtId="0" fontId="0" fillId="0" borderId="0" xfId="0" applyBorder="1" applyAlignment="1">
      <alignment horizontal="left"/>
    </xf>
    <xf numFmtId="0" fontId="2" fillId="0" borderId="0" xfId="0" applyFont="1" applyBorder="1" applyAlignment="1">
      <alignment horizontal="left"/>
    </xf>
    <xf numFmtId="0" fontId="2" fillId="0" borderId="23" xfId="0" applyFont="1" applyBorder="1" applyAlignment="1">
      <alignment horizontal="left"/>
    </xf>
    <xf numFmtId="0" fontId="0" fillId="0" borderId="23" xfId="0" applyBorder="1" applyAlignment="1">
      <alignment horizontal="left"/>
    </xf>
    <xf numFmtId="0" fontId="0" fillId="0" borderId="13" xfId="0" applyBorder="1" applyAlignment="1">
      <alignment horizontal="left"/>
    </xf>
    <xf numFmtId="0" fontId="9" fillId="0" borderId="12" xfId="0" applyFont="1" applyFill="1" applyBorder="1" applyAlignment="1" applyProtection="1"/>
    <xf numFmtId="8" fontId="9" fillId="5" borderId="27" xfId="0" applyNumberFormat="1" applyFont="1" applyFill="1" applyBorder="1" applyAlignment="1">
      <alignment horizontal="center"/>
    </xf>
    <xf numFmtId="8" fontId="9" fillId="5" borderId="28" xfId="0" applyNumberFormat="1" applyFont="1" applyFill="1" applyBorder="1" applyAlignment="1">
      <alignment horizontal="center"/>
    </xf>
    <xf numFmtId="8" fontId="9" fillId="5" borderId="29" xfId="0" applyNumberFormat="1" applyFont="1" applyFill="1" applyBorder="1" applyAlignment="1">
      <alignment horizontal="center"/>
    </xf>
    <xf numFmtId="0" fontId="7" fillId="3" borderId="6" xfId="0" applyFont="1" applyFill="1" applyBorder="1" applyAlignment="1">
      <alignment horizontal="left" textRotation="90" wrapText="1"/>
    </xf>
    <xf numFmtId="0" fontId="8" fillId="4" borderId="1" xfId="0" applyFont="1" applyFill="1" applyBorder="1" applyAlignment="1">
      <alignment horizontal="left"/>
    </xf>
    <xf numFmtId="0" fontId="8" fillId="4" borderId="4" xfId="0" applyFont="1" applyFill="1" applyBorder="1" applyAlignment="1">
      <alignment horizontal="left"/>
    </xf>
    <xf numFmtId="0" fontId="8" fillId="4" borderId="10" xfId="0" applyFont="1" applyFill="1" applyBorder="1" applyAlignment="1">
      <alignment horizontal="left" wrapText="1"/>
    </xf>
    <xf numFmtId="0" fontId="11" fillId="2" borderId="11" xfId="0" applyFont="1" applyFill="1" applyBorder="1" applyAlignment="1">
      <alignment horizontal="left" textRotation="90"/>
    </xf>
    <xf numFmtId="0" fontId="12" fillId="0" borderId="18" xfId="0" applyFont="1" applyBorder="1" applyAlignment="1">
      <alignment horizontal="left" vertical="top" wrapText="1"/>
    </xf>
    <xf numFmtId="0" fontId="0" fillId="0" borderId="19" xfId="0" applyBorder="1" applyAlignment="1">
      <alignment horizontal="left"/>
    </xf>
    <xf numFmtId="0" fontId="12" fillId="0" borderId="21" xfId="0" applyFont="1" applyBorder="1" applyAlignment="1">
      <alignment horizontal="left" vertical="top" wrapText="1"/>
    </xf>
    <xf numFmtId="0" fontId="12" fillId="0" borderId="21" xfId="0" applyFont="1" applyBorder="1" applyAlignment="1">
      <alignment horizontal="left" wrapText="1"/>
    </xf>
    <xf numFmtId="0" fontId="7" fillId="3" borderId="7" xfId="0" applyFont="1" applyFill="1" applyBorder="1" applyAlignment="1">
      <alignment horizontal="left" textRotation="90" wrapText="1"/>
    </xf>
    <xf numFmtId="0" fontId="8" fillId="4" borderId="2" xfId="0" applyFont="1" applyFill="1" applyBorder="1" applyAlignment="1">
      <alignment horizontal="left"/>
    </xf>
    <xf numFmtId="0" fontId="8" fillId="4" borderId="0" xfId="0" applyFont="1" applyFill="1" applyBorder="1" applyAlignment="1">
      <alignment horizontal="left"/>
    </xf>
    <xf numFmtId="0" fontId="8" fillId="4" borderId="11" xfId="0" applyFont="1" applyFill="1" applyBorder="1" applyAlignment="1">
      <alignment horizontal="left"/>
    </xf>
    <xf numFmtId="0" fontId="12" fillId="0" borderId="3" xfId="0" applyFont="1" applyBorder="1" applyAlignment="1">
      <alignment horizontal="left" vertical="top" wrapText="1"/>
    </xf>
    <xf numFmtId="0" fontId="7" fillId="0" borderId="20" xfId="0" applyFont="1" applyBorder="1" applyAlignment="1">
      <alignment horizontal="left" wrapText="1"/>
    </xf>
    <xf numFmtId="0" fontId="12" fillId="0" borderId="22" xfId="0" applyFont="1" applyBorder="1" applyAlignment="1">
      <alignment horizontal="left" vertical="top" wrapText="1"/>
    </xf>
    <xf numFmtId="0" fontId="12" fillId="0" borderId="22" xfId="0" applyFont="1" applyBorder="1" applyAlignment="1">
      <alignment horizontal="left" wrapText="1"/>
    </xf>
    <xf numFmtId="0" fontId="8" fillId="4" borderId="2" xfId="0" applyFont="1" applyFill="1" applyBorder="1" applyAlignment="1">
      <alignment horizontal="left" wrapText="1"/>
    </xf>
    <xf numFmtId="0" fontId="8" fillId="4" borderId="0" xfId="0" applyFont="1" applyFill="1" applyBorder="1" applyAlignment="1">
      <alignment horizontal="left" wrapText="1"/>
    </xf>
    <xf numFmtId="0" fontId="8" fillId="4" borderId="11" xfId="0" applyFont="1" applyFill="1" applyBorder="1" applyAlignment="1">
      <alignment horizontal="left" wrapText="1"/>
    </xf>
    <xf numFmtId="0" fontId="12" fillId="0" borderId="0" xfId="0" applyFont="1" applyBorder="1" applyAlignment="1">
      <alignment horizontal="left" vertical="top" wrapText="1"/>
    </xf>
    <xf numFmtId="0" fontId="11" fillId="3" borderId="12" xfId="0" applyFont="1" applyFill="1" applyBorder="1" applyAlignment="1">
      <alignment horizontal="center" wrapText="1"/>
    </xf>
    <xf numFmtId="2" fontId="8" fillId="6" borderId="12" xfId="0" applyNumberFormat="1" applyFont="1" applyFill="1" applyBorder="1" applyAlignment="1" applyProtection="1">
      <alignment horizontal="center"/>
    </xf>
    <xf numFmtId="4" fontId="8" fillId="6" borderId="15" xfId="0" applyNumberFormat="1" applyFont="1" applyFill="1" applyBorder="1" applyAlignment="1" applyProtection="1">
      <alignment horizontal="center"/>
    </xf>
    <xf numFmtId="4" fontId="10" fillId="6" borderId="15" xfId="0" applyNumberFormat="1" applyFont="1" applyFill="1" applyBorder="1" applyAlignment="1" applyProtection="1">
      <alignment horizontal="center" wrapText="1"/>
    </xf>
    <xf numFmtId="0" fontId="11" fillId="3" borderId="15" xfId="0" applyFont="1" applyFill="1" applyBorder="1" applyAlignment="1">
      <alignment horizontal="center" wrapText="1"/>
    </xf>
    <xf numFmtId="2" fontId="8" fillId="6" borderId="15" xfId="0" applyNumberFormat="1" applyFont="1" applyFill="1" applyBorder="1" applyAlignment="1" applyProtection="1">
      <alignment horizontal="center"/>
    </xf>
    <xf numFmtId="166" fontId="10" fillId="6" borderId="0" xfId="0" applyNumberFormat="1" applyFont="1" applyFill="1" applyBorder="1" applyAlignment="1" applyProtection="1">
      <alignment horizontal="center" wrapText="1"/>
    </xf>
    <xf numFmtId="0" fontId="0" fillId="0" borderId="0" xfId="0" applyAlignment="1">
      <alignment horizontal="center"/>
    </xf>
    <xf numFmtId="0" fontId="9" fillId="0" borderId="15" xfId="0" applyFont="1" applyBorder="1" applyAlignment="1">
      <alignment horizontal="center"/>
    </xf>
    <xf numFmtId="0" fontId="9" fillId="0" borderId="25" xfId="0" applyFont="1" applyFill="1" applyBorder="1" applyAlignment="1" applyProtection="1"/>
    <xf numFmtId="0" fontId="9" fillId="0" borderId="25" xfId="0" applyFont="1" applyFill="1" applyBorder="1" applyAlignment="1" applyProtection="1">
      <alignment wrapText="1"/>
    </xf>
    <xf numFmtId="0" fontId="9" fillId="0" borderId="25" xfId="0" applyFont="1" applyFill="1" applyBorder="1" applyAlignment="1" applyProtection="1">
      <alignment horizontal="center" wrapText="1"/>
    </xf>
    <xf numFmtId="0" fontId="9" fillId="0" borderId="23" xfId="0" applyFont="1" applyFill="1" applyBorder="1" applyAlignment="1" applyProtection="1">
      <alignment horizontal="center" wrapText="1"/>
    </xf>
    <xf numFmtId="1" fontId="8" fillId="0" borderId="14" xfId="0" applyNumberFormat="1" applyFont="1" applyFill="1" applyBorder="1" applyAlignment="1" applyProtection="1">
      <alignment horizontal="center"/>
    </xf>
    <xf numFmtId="2" fontId="11" fillId="3" borderId="12" xfId="0" applyNumberFormat="1" applyFont="1" applyFill="1" applyBorder="1" applyAlignment="1">
      <alignment horizontal="center" wrapText="1"/>
    </xf>
    <xf numFmtId="0" fontId="0" fillId="0" borderId="15" xfId="0" applyBorder="1" applyAlignment="1"/>
    <xf numFmtId="166" fontId="10" fillId="6" borderId="15" xfId="0" applyNumberFormat="1" applyFont="1" applyFill="1" applyBorder="1" applyAlignment="1" applyProtection="1">
      <alignment horizontal="center" wrapText="1"/>
    </xf>
    <xf numFmtId="0" fontId="9" fillId="0" borderId="0" xfId="0" applyFont="1" applyFill="1" applyBorder="1" applyAlignment="1" applyProtection="1"/>
    <xf numFmtId="0" fontId="0" fillId="0" borderId="15" xfId="0" applyBorder="1"/>
    <xf numFmtId="17" fontId="11" fillId="3" borderId="12" xfId="0" applyNumberFormat="1" applyFont="1" applyFill="1" applyBorder="1" applyAlignment="1">
      <alignment horizontal="center" wrapText="1"/>
    </xf>
    <xf numFmtId="0" fontId="7" fillId="3" borderId="15" xfId="0" applyFont="1" applyFill="1" applyBorder="1" applyAlignment="1">
      <alignment horizontal="center" wrapText="1"/>
    </xf>
    <xf numFmtId="0" fontId="7" fillId="3" borderId="26" xfId="0" applyFont="1" applyFill="1" applyBorder="1" applyAlignment="1">
      <alignment horizontal="left"/>
    </xf>
    <xf numFmtId="0" fontId="9" fillId="4" borderId="2" xfId="0" applyFont="1" applyFill="1" applyBorder="1" applyAlignment="1" applyProtection="1">
      <alignment horizontal="left"/>
    </xf>
    <xf numFmtId="0" fontId="22" fillId="0" borderId="23" xfId="0" applyFont="1" applyFill="1" applyBorder="1" applyAlignment="1"/>
    <xf numFmtId="0" fontId="7" fillId="0" borderId="12" xfId="0" applyFont="1" applyFill="1" applyBorder="1" applyAlignment="1" applyProtection="1">
      <alignment wrapText="1"/>
    </xf>
    <xf numFmtId="0" fontId="7" fillId="0" borderId="12" xfId="0" applyFont="1" applyFill="1" applyBorder="1" applyAlignment="1" applyProtection="1">
      <alignment horizontal="center" wrapText="1"/>
    </xf>
    <xf numFmtId="0" fontId="7" fillId="0" borderId="13" xfId="0" applyFont="1" applyFill="1" applyBorder="1" applyAlignment="1" applyProtection="1">
      <alignment horizontal="center" wrapText="1"/>
    </xf>
    <xf numFmtId="2" fontId="7" fillId="0" borderId="14" xfId="0" applyNumberFormat="1" applyFont="1" applyFill="1" applyBorder="1" applyAlignment="1" applyProtection="1">
      <alignment horizontal="center"/>
    </xf>
    <xf numFmtId="2" fontId="7" fillId="0" borderId="12" xfId="0" applyNumberFormat="1" applyFont="1" applyFill="1" applyBorder="1" applyAlignment="1" applyProtection="1">
      <alignment horizontal="center"/>
    </xf>
    <xf numFmtId="8" fontId="11" fillId="3" borderId="12" xfId="0" applyNumberFormat="1" applyFont="1" applyFill="1" applyBorder="1" applyAlignment="1">
      <alignment horizontal="center" wrapText="1"/>
    </xf>
    <xf numFmtId="166" fontId="23" fillId="6" borderId="0" xfId="0" applyNumberFormat="1" applyFont="1" applyFill="1" applyBorder="1" applyAlignment="1" applyProtection="1">
      <alignment horizontal="center" wrapText="1"/>
    </xf>
    <xf numFmtId="0" fontId="23" fillId="0" borderId="12" xfId="0" applyFont="1" applyFill="1" applyBorder="1" applyAlignment="1" applyProtection="1">
      <alignment horizontal="center" wrapText="1"/>
    </xf>
    <xf numFmtId="0" fontId="23" fillId="0" borderId="13" xfId="0" applyFont="1" applyFill="1" applyBorder="1" applyAlignment="1" applyProtection="1">
      <alignment horizontal="center" wrapText="1"/>
    </xf>
    <xf numFmtId="0" fontId="7" fillId="0" borderId="15" xfId="0" applyFont="1" applyFill="1" applyBorder="1" applyAlignment="1" applyProtection="1">
      <alignment wrapText="1"/>
    </xf>
    <xf numFmtId="0" fontId="7" fillId="0" borderId="15" xfId="0" applyFont="1" applyFill="1" applyBorder="1" applyAlignment="1" applyProtection="1">
      <alignment horizontal="center" wrapText="1"/>
    </xf>
    <xf numFmtId="2" fontId="7" fillId="6" borderId="15" xfId="0" applyNumberFormat="1" applyFont="1" applyFill="1" applyBorder="1" applyAlignment="1" applyProtection="1">
      <alignment horizontal="center"/>
    </xf>
    <xf numFmtId="2" fontId="7" fillId="0" borderId="16" xfId="0" applyNumberFormat="1" applyFont="1" applyFill="1" applyBorder="1" applyAlignment="1" applyProtection="1">
      <alignment horizontal="center"/>
    </xf>
    <xf numFmtId="2" fontId="7" fillId="0" borderId="15" xfId="0" applyNumberFormat="1" applyFont="1" applyFill="1" applyBorder="1" applyAlignment="1" applyProtection="1">
      <alignment horizontal="center"/>
    </xf>
    <xf numFmtId="0" fontId="23" fillId="0" borderId="15" xfId="0" applyFont="1" applyFill="1" applyBorder="1" applyAlignment="1" applyProtection="1">
      <alignment horizontal="center" wrapText="1"/>
    </xf>
    <xf numFmtId="0" fontId="23" fillId="0" borderId="17" xfId="0" applyFont="1" applyFill="1" applyBorder="1" applyAlignment="1" applyProtection="1">
      <alignment horizontal="center" wrapText="1"/>
    </xf>
    <xf numFmtId="0" fontId="16" fillId="0" borderId="23" xfId="0" applyFont="1" applyFill="1" applyBorder="1" applyAlignment="1"/>
    <xf numFmtId="0" fontId="16" fillId="0" borderId="23" xfId="0" applyFont="1" applyBorder="1" applyAlignment="1"/>
    <xf numFmtId="0" fontId="7" fillId="0" borderId="12" xfId="0" applyFont="1" applyFill="1" applyBorder="1" applyAlignment="1" applyProtection="1"/>
    <xf numFmtId="4" fontId="8" fillId="4" borderId="15" xfId="0" applyNumberFormat="1" applyFont="1" applyFill="1" applyBorder="1" applyAlignment="1" applyProtection="1">
      <alignment horizontal="center"/>
    </xf>
    <xf numFmtId="4" fontId="10" fillId="4" borderId="15" xfId="0" applyNumberFormat="1" applyFont="1" applyFill="1" applyBorder="1" applyAlignment="1" applyProtection="1">
      <alignment horizontal="center" wrapText="1"/>
    </xf>
    <xf numFmtId="0" fontId="0" fillId="0" borderId="4" xfId="0" applyBorder="1" applyAlignment="1">
      <alignment horizontal="center"/>
    </xf>
    <xf numFmtId="0" fontId="0" fillId="0" borderId="0" xfId="0" applyAlignment="1">
      <alignment horizontal="center"/>
    </xf>
    <xf numFmtId="0" fontId="5" fillId="0" borderId="0" xfId="0" applyFont="1" applyAlignment="1">
      <alignment horizontal="center"/>
    </xf>
    <xf numFmtId="0" fontId="6" fillId="0" borderId="0" xfId="0" applyFont="1" applyAlignment="1">
      <alignment horizontal="left"/>
    </xf>
    <xf numFmtId="0" fontId="6" fillId="2" borderId="1" xfId="0" applyFont="1" applyFill="1" applyBorder="1" applyAlignment="1">
      <alignment horizontal="center" textRotation="90"/>
    </xf>
    <xf numFmtId="0" fontId="6" fillId="2" borderId="2" xfId="0" applyFont="1" applyFill="1" applyBorder="1" applyAlignment="1">
      <alignment horizontal="center" textRotation="90"/>
    </xf>
    <xf numFmtId="0" fontId="6" fillId="2" borderId="3" xfId="0" applyFont="1" applyFill="1" applyBorder="1" applyAlignment="1">
      <alignment horizontal="center" textRotation="90"/>
    </xf>
    <xf numFmtId="0" fontId="6" fillId="2" borderId="4" xfId="0" applyFont="1" applyFill="1" applyBorder="1" applyAlignment="1">
      <alignment horizontal="center" textRotation="90"/>
    </xf>
    <xf numFmtId="0" fontId="6" fillId="2" borderId="0" xfId="0" applyFont="1" applyFill="1" applyBorder="1" applyAlignment="1">
      <alignment horizontal="center" textRotation="90"/>
    </xf>
    <xf numFmtId="0" fontId="6" fillId="2" borderId="5" xfId="0" applyFont="1" applyFill="1" applyBorder="1" applyAlignment="1">
      <alignment horizontal="center" textRotation="90"/>
    </xf>
    <xf numFmtId="0" fontId="9" fillId="0" borderId="32" xfId="0" applyFont="1" applyBorder="1" applyAlignment="1">
      <alignment horizontal="center"/>
    </xf>
    <xf numFmtId="0" fontId="9" fillId="0" borderId="33" xfId="0" applyFont="1" applyBorder="1" applyAlignment="1">
      <alignment horizontal="center"/>
    </xf>
    <xf numFmtId="0" fontId="9" fillId="0" borderId="34" xfId="0" applyFont="1" applyBorder="1" applyAlignment="1">
      <alignment horizontal="center"/>
    </xf>
    <xf numFmtId="8" fontId="0" fillId="0" borderId="13" xfId="0" applyNumberFormat="1" applyBorder="1" applyAlignment="1" applyProtection="1">
      <alignment horizontal="center"/>
      <protection locked="0"/>
    </xf>
    <xf numFmtId="8" fontId="0" fillId="0" borderId="31" xfId="0" applyNumberFormat="1" applyBorder="1" applyAlignment="1" applyProtection="1">
      <alignment horizontal="center"/>
      <protection locked="0"/>
    </xf>
    <xf numFmtId="8" fontId="0" fillId="0" borderId="14" xfId="0" applyNumberFormat="1" applyBorder="1" applyAlignment="1" applyProtection="1">
      <alignment horizontal="center"/>
      <protection locked="0"/>
    </xf>
    <xf numFmtId="0" fontId="0" fillId="0" borderId="0" xfId="0" applyBorder="1" applyAlignment="1">
      <alignment horizontal="center"/>
    </xf>
    <xf numFmtId="0" fontId="9" fillId="0" borderId="17" xfId="0" applyFont="1" applyBorder="1" applyAlignment="1">
      <alignment horizontal="center"/>
    </xf>
    <xf numFmtId="0" fontId="9" fillId="0" borderId="30" xfId="0" applyFont="1" applyBorder="1" applyAlignment="1">
      <alignment horizontal="center"/>
    </xf>
    <xf numFmtId="0" fontId="9" fillId="0" borderId="16" xfId="0" applyFont="1" applyBorder="1" applyAlignment="1">
      <alignment horizontal="center"/>
    </xf>
    <xf numFmtId="8" fontId="0" fillId="0" borderId="17" xfId="0" applyNumberFormat="1" applyBorder="1" applyAlignment="1" applyProtection="1">
      <alignment horizontal="center"/>
      <protection locked="0"/>
    </xf>
    <xf numFmtId="8" fontId="0" fillId="0" borderId="30" xfId="0" applyNumberFormat="1" applyBorder="1" applyAlignment="1" applyProtection="1">
      <alignment horizontal="center"/>
      <protection locked="0"/>
    </xf>
    <xf numFmtId="8" fontId="0" fillId="0" borderId="16" xfId="0" applyNumberFormat="1" applyBorder="1" applyAlignment="1" applyProtection="1">
      <alignment horizontal="center"/>
      <protection locked="0"/>
    </xf>
    <xf numFmtId="2" fontId="0" fillId="0" borderId="4" xfId="0" applyNumberFormat="1" applyBorder="1" applyAlignment="1">
      <alignment horizontal="center"/>
    </xf>
    <xf numFmtId="2" fontId="0" fillId="0" borderId="0" xfId="0" applyNumberFormat="1" applyAlignment="1">
      <alignment horizontal="center"/>
    </xf>
    <xf numFmtId="166" fontId="0" fillId="0" borderId="4" xfId="0" applyNumberFormat="1" applyBorder="1" applyAlignment="1">
      <alignment horizontal="center"/>
    </xf>
    <xf numFmtId="166" fontId="0" fillId="0" borderId="0" xfId="0" applyNumberFormat="1" applyAlignment="1">
      <alignment horizontal="center"/>
    </xf>
    <xf numFmtId="8" fontId="0" fillId="0" borderId="4" xfId="0" applyNumberFormat="1" applyBorder="1" applyAlignment="1">
      <alignment horizontal="center"/>
    </xf>
    <xf numFmtId="8" fontId="0" fillId="0" borderId="0" xfId="0" applyNumberFormat="1" applyAlignment="1">
      <alignment horizontal="center"/>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calcChain" Target="calcChain.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Savings to Consumers</a:t>
            </a:r>
          </a:p>
        </c:rich>
      </c:tx>
      <c:layout>
        <c:manualLayout>
          <c:xMode val="edge"/>
          <c:yMode val="edge"/>
          <c:x val="0.47584656143334197"/>
          <c:y val="0"/>
        </c:manualLayout>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explosion val="25"/>
          <c:dLbls>
            <c:dLbl>
              <c:idx val="0"/>
              <c:layout>
                <c:manualLayout>
                  <c:x val="-0.70005439734540953"/>
                  <c:y val="-0.10171367166158214"/>
                </c:manualLayout>
              </c:layout>
              <c:dLblPos val="bestFit"/>
              <c:showLegendKey val="0"/>
              <c:showVal val="1"/>
              <c:showCatName val="1"/>
              <c:showSerName val="0"/>
              <c:showPercent val="1"/>
              <c:showBubbleSize val="0"/>
            </c:dLbl>
            <c:dLbl>
              <c:idx val="1"/>
              <c:layout>
                <c:manualLayout>
                  <c:x val="0.69173459535174686"/>
                  <c:y val="-3.7589835179280356E-2"/>
                </c:manualLayout>
              </c:layout>
              <c:dLblPos val="bestFit"/>
              <c:showLegendKey val="0"/>
              <c:showVal val="1"/>
              <c:showCatName val="1"/>
              <c:showSerName val="0"/>
              <c:showPercent val="1"/>
              <c:showBubbleSize val="0"/>
            </c:dLbl>
            <c:dLbl>
              <c:idx val="2"/>
              <c:layout>
                <c:manualLayout>
                  <c:x val="0.17652582159624414"/>
                  <c:y val="-7.8177107146177621E-2"/>
                </c:manualLayout>
              </c:layout>
              <c:dLblPos val="bestFit"/>
              <c:showLegendKey val="0"/>
              <c:showVal val="1"/>
              <c:showCatName val="1"/>
              <c:showSerName val="0"/>
              <c:showPercent val="1"/>
              <c:showBubbleSize val="0"/>
            </c:dLbl>
            <c:dLbl>
              <c:idx val="3"/>
              <c:layout>
                <c:manualLayout>
                  <c:x val="0.20031298904538342"/>
                  <c:y val="-1.9376437040769388E-2"/>
                </c:manualLayout>
              </c:layout>
              <c:dLblPos val="bestFit"/>
              <c:showLegendKey val="0"/>
              <c:showVal val="1"/>
              <c:showCatName val="1"/>
              <c:showSerName val="0"/>
              <c:showPercent val="1"/>
              <c:showBubbleSize val="0"/>
            </c:dLbl>
            <c:dLbl>
              <c:idx val="4"/>
              <c:layout>
                <c:manualLayout>
                  <c:x val="5.7589984350547734E-2"/>
                  <c:y val="7.9922361930045652E-3"/>
                </c:manualLayout>
              </c:layout>
              <c:dLblPos val="bestFit"/>
              <c:showLegendKey val="0"/>
              <c:showVal val="1"/>
              <c:showCatName val="1"/>
              <c:showSerName val="0"/>
              <c:showPercent val="1"/>
              <c:showBubbleSize val="0"/>
            </c:dLbl>
            <c:dLbl>
              <c:idx val="5"/>
              <c:layout>
                <c:manualLayout>
                  <c:x val="5.0078247261345854E-2"/>
                  <c:y val="3.2481517605588435E-2"/>
                </c:manualLayout>
              </c:layout>
              <c:dLblPos val="bestFit"/>
              <c:showLegendKey val="0"/>
              <c:showVal val="1"/>
              <c:showCatName val="1"/>
              <c:showSerName val="0"/>
              <c:showPercent val="1"/>
              <c:showBubbleSize val="0"/>
            </c:dLbl>
            <c:dLbl>
              <c:idx val="6"/>
              <c:layout>
                <c:manualLayout>
                  <c:x val="-0.14272300469483568"/>
                  <c:y val="5.5279169381294645E-2"/>
                </c:manualLayout>
              </c:layout>
              <c:dLblPos val="bestFit"/>
              <c:showLegendKey val="0"/>
              <c:showVal val="1"/>
              <c:showCatName val="1"/>
              <c:showSerName val="0"/>
              <c:showPercent val="1"/>
              <c:showBubbleSize val="0"/>
            </c:dLbl>
            <c:dLbl>
              <c:idx val="7"/>
              <c:layout>
                <c:manualLayout>
                  <c:x val="-0.22535211267605634"/>
                  <c:y val="5.5397910778201866E-2"/>
                </c:manualLayout>
              </c:layout>
              <c:dLblPos val="bestFit"/>
              <c:showLegendKey val="0"/>
              <c:showVal val="1"/>
              <c:showCatName val="1"/>
              <c:showSerName val="0"/>
              <c:showPercent val="1"/>
              <c:showBubbleSize val="0"/>
            </c:dLbl>
            <c:dLbl>
              <c:idx val="8"/>
              <c:layout>
                <c:manualLayout>
                  <c:x val="-0.28043818466353676"/>
                  <c:y val="1.4233297943057755E-3"/>
                </c:manualLayout>
              </c:layout>
              <c:dLblPos val="bestFit"/>
              <c:showLegendKey val="0"/>
              <c:showVal val="1"/>
              <c:showCatName val="1"/>
              <c:showSerName val="0"/>
              <c:showPercent val="1"/>
              <c:showBubbleSize val="0"/>
            </c:dLbl>
            <c:dLbl>
              <c:idx val="9"/>
              <c:layout>
                <c:manualLayout>
                  <c:x val="-9.014084507042254E-2"/>
                  <c:y val="-0.13267018062272723"/>
                </c:manualLayout>
              </c:layout>
              <c:dLblPos val="bestFit"/>
              <c:showLegendKey val="0"/>
              <c:showVal val="1"/>
              <c:showCatName val="1"/>
              <c:showSerName val="0"/>
              <c:showPercent val="1"/>
              <c:showBubbleSize val="0"/>
            </c:dLbl>
            <c:dLbl>
              <c:idx val="10"/>
              <c:layout>
                <c:manualLayout>
                  <c:x val="-0.26077340332458443"/>
                  <c:y val="-5.0856835830791071E-2"/>
                </c:manualLayout>
              </c:layout>
              <c:dLblPos val="bestFit"/>
              <c:showLegendKey val="0"/>
              <c:showVal val="1"/>
              <c:showCatName val="1"/>
              <c:showSerName val="0"/>
              <c:showPercent val="1"/>
              <c:showBubbleSize val="0"/>
            </c:dLbl>
            <c:dLbl>
              <c:idx val="11"/>
              <c:layout>
                <c:manualLayout>
                  <c:x val="-0.24913928012519562"/>
                  <c:y val="-8.8446671010071434E-2"/>
                </c:manualLayout>
              </c:layout>
              <c:dLblPos val="bestFit"/>
              <c:showLegendKey val="0"/>
              <c:showVal val="1"/>
              <c:showCatName val="1"/>
              <c:showSerName val="0"/>
              <c:showPercent val="1"/>
              <c:showBubbleSize val="0"/>
            </c:dLbl>
            <c:dLbl>
              <c:idx val="12"/>
              <c:layout>
                <c:manualLayout>
                  <c:x val="-0.12900777543652114"/>
                  <c:y val="-9.5080171335826788E-2"/>
                </c:manualLayout>
              </c:layout>
              <c:dLblPos val="bestFit"/>
              <c:showLegendKey val="0"/>
              <c:showVal val="1"/>
              <c:showCatName val="1"/>
              <c:showSerName val="0"/>
              <c:showPercent val="1"/>
              <c:showBubbleSize val="0"/>
            </c:dLbl>
            <c:dLbl>
              <c:idx val="13"/>
              <c:layout>
                <c:manualLayout>
                  <c:x val="0.20182627875740886"/>
                  <c:y val="-7.9602003909064287E-2"/>
                </c:manualLayout>
              </c:layout>
              <c:dLblPos val="bestFit"/>
              <c:showLegendKey val="0"/>
              <c:showVal val="1"/>
              <c:showCatName val="1"/>
              <c:showSerName val="0"/>
              <c:showPercent val="1"/>
              <c:showBubbleSize val="0"/>
            </c:dLbl>
            <c:dLbl>
              <c:idx val="14"/>
              <c:layout>
                <c:manualLayout>
                  <c:x val="-3.2550860719874813E-2"/>
                  <c:y val="-0.17910450879539463"/>
                </c:manualLayout>
              </c:layout>
              <c:dLblPos val="bestFit"/>
              <c:showLegendKey val="0"/>
              <c:showVal val="1"/>
              <c:showCatName val="1"/>
              <c:showSerName val="0"/>
              <c:showPercent val="1"/>
              <c:showBubbleSize val="0"/>
            </c:dLbl>
            <c:dLbl>
              <c:idx val="15"/>
              <c:layout>
                <c:manualLayout>
                  <c:x val="0.79374021909233172"/>
                  <c:y val="-9.7291338111078526E-2"/>
                </c:manualLayout>
              </c:layout>
              <c:dLblPos val="bestFit"/>
              <c:showLegendKey val="0"/>
              <c:showVal val="1"/>
              <c:showCatName val="1"/>
              <c:showSerName val="0"/>
              <c:showPercent val="1"/>
              <c:showBubbleSize val="0"/>
            </c:dLbl>
            <c:dLbl>
              <c:idx val="16"/>
              <c:layout>
                <c:manualLayout>
                  <c:x val="0.13771517996870108"/>
                  <c:y val="4.4223335505035712E-3"/>
                </c:manualLayout>
              </c:layout>
              <c:dLblPos val="bestFit"/>
              <c:showLegendKey val="0"/>
              <c:showVal val="1"/>
              <c:showCatName val="1"/>
              <c:showSerName val="0"/>
              <c:showPercent val="1"/>
              <c:showBubbleSize val="0"/>
            </c:dLbl>
            <c:dLbl>
              <c:idx val="17"/>
              <c:layout>
                <c:manualLayout>
                  <c:x val="7.8873239436619724E-2"/>
                  <c:y val="-3.0956334853524999E-2"/>
                </c:manualLayout>
              </c:layout>
              <c:dLblPos val="bestFit"/>
              <c:showLegendKey val="0"/>
              <c:showVal val="1"/>
              <c:showCatName val="1"/>
              <c:showSerName val="0"/>
              <c:showPercent val="1"/>
              <c:showBubbleSize val="0"/>
            </c:dLbl>
            <c:dLbl>
              <c:idx val="18"/>
              <c:layout>
                <c:manualLayout>
                  <c:x val="-0.14021909233176835"/>
                  <c:y val="-3.3167501628776776E-2"/>
                </c:manualLayout>
              </c:layout>
              <c:dLblPos val="bestFit"/>
              <c:showLegendKey val="0"/>
              <c:showVal val="1"/>
              <c:showCatName val="1"/>
              <c:showSerName val="0"/>
              <c:showPercent val="1"/>
              <c:showBubbleSize val="0"/>
            </c:dLbl>
            <c:dLbl>
              <c:idx val="19"/>
              <c:layout>
                <c:manualLayout>
                  <c:x val="0.10641627543035993"/>
                  <c:y val="-3.3167501628776797E-2"/>
                </c:manualLayout>
              </c:layout>
              <c:dLblPos val="bestFit"/>
              <c:showLegendKey val="0"/>
              <c:showVal val="1"/>
              <c:showCatName val="1"/>
              <c:showSerName val="0"/>
              <c:showPercent val="1"/>
              <c:showBubbleSize val="0"/>
            </c:dLbl>
            <c:dLblPos val="outEnd"/>
            <c:showLegendKey val="0"/>
            <c:showVal val="1"/>
            <c:showCatName val="1"/>
            <c:showSerName val="0"/>
            <c:showPercent val="1"/>
            <c:showBubbleSize val="0"/>
            <c:showLeaderLines val="1"/>
          </c:dLbls>
          <c:cat>
            <c:strRef>
              <c:f>CTC!$J$401:$J$525</c:f>
              <c:strCache>
                <c:ptCount val="2"/>
                <c:pt idx="0">
                  <c:v>Bread Brown </c:v>
                </c:pt>
                <c:pt idx="1">
                  <c:v>Bread White </c:v>
                </c:pt>
              </c:strCache>
            </c:strRef>
          </c:cat>
          <c:val>
            <c:numRef>
              <c:f>CTC!$AM$401:$AM$525</c:f>
              <c:numCache>
                <c:formatCode>_ [$R-1C09]\ * #,##0.00_ ;_ [$R-1C09]\ * \-#,##0.00_ ;_ [$R-1C09]\ * "-"??_ ;_ @_ </c:formatCode>
                <c:ptCount val="2"/>
                <c:pt idx="0">
                  <c:v>717599.55551192386</c:v>
                </c:pt>
                <c:pt idx="1">
                  <c:v>605383.14892311452</c:v>
                </c:pt>
              </c:numCache>
            </c:numRef>
          </c:val>
        </c:ser>
        <c:dLbls>
          <c:showLegendKey val="0"/>
          <c:showVal val="0"/>
          <c:showCatName val="1"/>
          <c:showSerName val="0"/>
          <c:showPercent val="1"/>
          <c:showBubbleSize val="0"/>
          <c:showLeaderLines val="1"/>
        </c:dLbls>
      </c:pie3DChart>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20</xdr:col>
      <xdr:colOff>200025</xdr:colOff>
      <xdr:row>526</xdr:row>
      <xdr:rowOff>76200</xdr:rowOff>
    </xdr:from>
    <xdr:to>
      <xdr:col>34</xdr:col>
      <xdr:colOff>762000</xdr:colOff>
      <xdr:row>546</xdr:row>
      <xdr:rowOff>180975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eesm/Documents/1-%20Leg%20Met%20Filing%20system/1111-1-1%20TM%20Act%20and%20Regs%20and%20Main%20Files/1-01-10%20Reports%20and%20Statistics/YEAR%202012-2013/2012-11FEBRUARY/WC/Summary%20CTC%20feb%2020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ynettes/AppData/Local/Microsoft/Windows/Temporary%20Internet%20Files/Content.Outlook/57Z1FQXM/FS/Copy%20of%20CTC%20(March%202013)%20RAS_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ynettes/AppData/Local/Microsoft/Windows/Temporary%20Internet%20Files/Content.Outlook/57Z1FQXM/GPB/Mahlangu%20CTC%20March%20%20201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ynettes/AppData/Local/Microsoft/Windows/Temporary%20Internet%20Files/Content.Outlook/57Z1FQXM/GPB/Tendi%20CTC%20201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lynettes/AppData/Local/Microsoft/Windows/Temporary%20Internet%20Files/Content.Outlook/57Z1FQXM/GPB/Tshweu%20March%20201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lynettes/AppData/Local/Microsoft/Windows/Temporary%20Internet%20Files/Content.Outlook/57Z1FQXM/GPB/Vila%20%20CTC%20%20March%20201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ynettes/AppData/Local/Microsoft/Windows/Temporary%20Internet%20Files/Content.Outlook/57Z1FQXM/FS/COST%20TO%20CONSUMER-MARCH%202013-%20Ryan%20&amp;%20Sylvester.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lynettes/AppData/Local/Microsoft/Windows/Temporary%20Internet%20Files/Content.Outlook/57Z1FQXM/GPC/CTC%20Food%20Blitz%202%20Jan%20to%20March%20France%20Nape.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mareesm/Documents/1-%20Leg%20Met%20Filing%20system/1111-1-1%20TM%20Act%20and%20Regs%20and%20Main%20Files/1-01-10%20Reports%20and%20Statistics/YEAR%202012-2013/2012-11FEBRUARY/EC/Combined%20CTC%20-%20February%202013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C"/>
      <sheetName val="COMMODITY LIST"/>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C"/>
      <sheetName val="COMMODITY LIST"/>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C"/>
      <sheetName val="COMMODITY LIST"/>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C"/>
      <sheetName val="COMMODITY LIST"/>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C"/>
      <sheetName val="COMMODITY LIST"/>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C"/>
      <sheetName val="COMMODITY LIST"/>
    </sheetNames>
    <sheetDataSet>
      <sheetData sheetId="0"/>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C"/>
      <sheetName val="COMMODITY LIST"/>
    </sheetNames>
    <sheetDataSet>
      <sheetData sheetId="0"/>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C"/>
      <sheetName val="Frans"/>
      <sheetName val="Trizenia"/>
      <sheetName val="Tshiamo"/>
      <sheetName val="COMMODITY LIST"/>
    </sheetNames>
    <sheetDataSet>
      <sheetData sheetId="0"/>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C"/>
      <sheetName val="COMMODITY LIST"/>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O527"/>
  <sheetViews>
    <sheetView tabSelected="1" topLeftCell="C1" workbookViewId="0">
      <selection activeCell="C1" sqref="C1"/>
    </sheetView>
  </sheetViews>
  <sheetFormatPr defaultRowHeight="15" outlineLevelCol="1" x14ac:dyDescent="0.25"/>
  <cols>
    <col min="1" max="1" width="38.28515625" style="90" hidden="1" customWidth="1"/>
    <col min="2" max="2" width="34.140625" style="90" hidden="1" customWidth="1"/>
    <col min="3" max="3" width="18.28515625" style="90" customWidth="1"/>
    <col min="4" max="9" width="3.28515625" hidden="1" customWidth="1"/>
    <col min="10" max="10" width="18.140625" style="90" customWidth="1"/>
    <col min="11" max="11" width="21.140625" hidden="1" customWidth="1"/>
    <col min="12" max="12" width="7.7109375" customWidth="1" outlineLevel="1"/>
    <col min="13" max="13" width="5.7109375" hidden="1" customWidth="1" outlineLevel="1"/>
    <col min="14" max="17" width="3.28515625" hidden="1" customWidth="1" outlineLevel="1"/>
    <col min="18" max="18" width="5.7109375" hidden="1" customWidth="1" outlineLevel="1"/>
    <col min="19" max="19" width="6.5703125" customWidth="1" outlineLevel="1"/>
    <col min="20" max="20" width="4" customWidth="1" outlineLevel="1"/>
    <col min="21" max="21" width="8.140625" customWidth="1" outlineLevel="1"/>
    <col min="22" max="22" width="7.140625" customWidth="1" outlineLevel="1"/>
    <col min="23" max="24" width="4.85546875" hidden="1" customWidth="1" outlineLevel="1"/>
    <col min="25" max="25" width="5.7109375" hidden="1" customWidth="1" outlineLevel="1"/>
    <col min="26" max="26" width="8.140625" hidden="1" customWidth="1" outlineLevel="1"/>
    <col min="27" max="27" width="8.42578125" hidden="1" customWidth="1" outlineLevel="1"/>
    <col min="28" max="28" width="7.42578125" customWidth="1" outlineLevel="1"/>
    <col min="29" max="29" width="8.42578125" customWidth="1" outlineLevel="1"/>
    <col min="30" max="30" width="4.5703125" customWidth="1" outlineLevel="1"/>
    <col min="31" max="31" width="9" customWidth="1" outlineLevel="1"/>
    <col min="32" max="32" width="8" customWidth="1" outlineLevel="1"/>
    <col min="33" max="33" width="15.28515625" bestFit="1" customWidth="1"/>
    <col min="34" max="34" width="14.28515625" customWidth="1"/>
    <col min="35" max="35" width="14.28515625" bestFit="1" customWidth="1"/>
    <col min="36" max="36" width="13.42578125" bestFit="1" customWidth="1"/>
    <col min="37" max="37" width="18" bestFit="1" customWidth="1"/>
    <col min="38" max="38" width="15.28515625" bestFit="1" customWidth="1"/>
    <col min="39" max="39" width="16.7109375" bestFit="1" customWidth="1"/>
    <col min="40" max="40" width="7" bestFit="1" customWidth="1"/>
    <col min="41" max="41" width="15.28515625" bestFit="1" customWidth="1"/>
    <col min="261" max="261" width="12.140625" bestFit="1" customWidth="1"/>
    <col min="262" max="262" width="27.42578125" bestFit="1" customWidth="1"/>
    <col min="263" max="264" width="4.5703125" bestFit="1" customWidth="1"/>
    <col min="265" max="265" width="8.42578125" bestFit="1" customWidth="1"/>
    <col min="266" max="268" width="3.28515625" bestFit="1" customWidth="1"/>
    <col min="269" max="269" width="25.5703125" bestFit="1" customWidth="1"/>
    <col min="270" max="270" width="8.140625" bestFit="1" customWidth="1"/>
    <col min="271" max="271" width="5.7109375" bestFit="1" customWidth="1"/>
    <col min="272" max="274" width="3.42578125" bestFit="1" customWidth="1"/>
    <col min="275" max="275" width="3.28515625" bestFit="1" customWidth="1"/>
    <col min="276" max="277" width="5.7109375" bestFit="1" customWidth="1"/>
    <col min="278" max="278" width="3.42578125" bestFit="1" customWidth="1"/>
    <col min="279" max="279" width="7.7109375" customWidth="1"/>
    <col min="280" max="280" width="5.42578125" bestFit="1" customWidth="1"/>
    <col min="281" max="282" width="4.85546875" bestFit="1" customWidth="1"/>
    <col min="283" max="283" width="5.7109375" bestFit="1" customWidth="1"/>
    <col min="284" max="284" width="8" customWidth="1"/>
    <col min="285" max="285" width="5.28515625" bestFit="1" customWidth="1"/>
    <col min="286" max="286" width="5.7109375" bestFit="1" customWidth="1"/>
    <col min="287" max="287" width="6.28515625" bestFit="1" customWidth="1"/>
    <col min="288" max="288" width="4.28515625" bestFit="1" customWidth="1"/>
    <col min="289" max="290" width="4.42578125" bestFit="1" customWidth="1"/>
    <col min="291" max="291" width="6.5703125" bestFit="1" customWidth="1"/>
    <col min="292" max="292" width="7.5703125" bestFit="1" customWidth="1"/>
    <col min="293" max="293" width="6.5703125" bestFit="1" customWidth="1"/>
    <col min="294" max="294" width="7.5703125" bestFit="1" customWidth="1"/>
    <col min="295" max="295" width="10.85546875" bestFit="1" customWidth="1"/>
    <col min="296" max="296" width="7" bestFit="1" customWidth="1"/>
    <col min="297" max="297" width="10" bestFit="1" customWidth="1"/>
    <col min="517" max="517" width="12.140625" bestFit="1" customWidth="1"/>
    <col min="518" max="518" width="27.42578125" bestFit="1" customWidth="1"/>
    <col min="519" max="520" width="4.5703125" bestFit="1" customWidth="1"/>
    <col min="521" max="521" width="8.42578125" bestFit="1" customWidth="1"/>
    <col min="522" max="524" width="3.28515625" bestFit="1" customWidth="1"/>
    <col min="525" max="525" width="25.5703125" bestFit="1" customWidth="1"/>
    <col min="526" max="526" width="8.140625" bestFit="1" customWidth="1"/>
    <col min="527" max="527" width="5.7109375" bestFit="1" customWidth="1"/>
    <col min="528" max="530" width="3.42578125" bestFit="1" customWidth="1"/>
    <col min="531" max="531" width="3.28515625" bestFit="1" customWidth="1"/>
    <col min="532" max="533" width="5.7109375" bestFit="1" customWidth="1"/>
    <col min="534" max="534" width="3.42578125" bestFit="1" customWidth="1"/>
    <col min="535" max="535" width="7.7109375" customWidth="1"/>
    <col min="536" max="536" width="5.42578125" bestFit="1" customWidth="1"/>
    <col min="537" max="538" width="4.85546875" bestFit="1" customWidth="1"/>
    <col min="539" max="539" width="5.7109375" bestFit="1" customWidth="1"/>
    <col min="540" max="540" width="8" customWidth="1"/>
    <col min="541" max="541" width="5.28515625" bestFit="1" customWidth="1"/>
    <col min="542" max="542" width="5.7109375" bestFit="1" customWidth="1"/>
    <col min="543" max="543" width="6.28515625" bestFit="1" customWidth="1"/>
    <col min="544" max="544" width="4.28515625" bestFit="1" customWidth="1"/>
    <col min="545" max="546" width="4.42578125" bestFit="1" customWidth="1"/>
    <col min="547" max="547" width="6.5703125" bestFit="1" customWidth="1"/>
    <col min="548" max="548" width="7.5703125" bestFit="1" customWidth="1"/>
    <col min="549" max="549" width="6.5703125" bestFit="1" customWidth="1"/>
    <col min="550" max="550" width="7.5703125" bestFit="1" customWidth="1"/>
    <col min="551" max="551" width="10.85546875" bestFit="1" customWidth="1"/>
    <col min="552" max="552" width="7" bestFit="1" customWidth="1"/>
    <col min="553" max="553" width="10" bestFit="1" customWidth="1"/>
    <col min="773" max="773" width="12.140625" bestFit="1" customWidth="1"/>
    <col min="774" max="774" width="27.42578125" bestFit="1" customWidth="1"/>
    <col min="775" max="776" width="4.5703125" bestFit="1" customWidth="1"/>
    <col min="777" max="777" width="8.42578125" bestFit="1" customWidth="1"/>
    <col min="778" max="780" width="3.28515625" bestFit="1" customWidth="1"/>
    <col min="781" max="781" width="25.5703125" bestFit="1" customWidth="1"/>
    <col min="782" max="782" width="8.140625" bestFit="1" customWidth="1"/>
    <col min="783" max="783" width="5.7109375" bestFit="1" customWidth="1"/>
    <col min="784" max="786" width="3.42578125" bestFit="1" customWidth="1"/>
    <col min="787" max="787" width="3.28515625" bestFit="1" customWidth="1"/>
    <col min="788" max="789" width="5.7109375" bestFit="1" customWidth="1"/>
    <col min="790" max="790" width="3.42578125" bestFit="1" customWidth="1"/>
    <col min="791" max="791" width="7.7109375" customWidth="1"/>
    <col min="792" max="792" width="5.42578125" bestFit="1" customWidth="1"/>
    <col min="793" max="794" width="4.85546875" bestFit="1" customWidth="1"/>
    <col min="795" max="795" width="5.7109375" bestFit="1" customWidth="1"/>
    <col min="796" max="796" width="8" customWidth="1"/>
    <col min="797" max="797" width="5.28515625" bestFit="1" customWidth="1"/>
    <col min="798" max="798" width="5.7109375" bestFit="1" customWidth="1"/>
    <col min="799" max="799" width="6.28515625" bestFit="1" customWidth="1"/>
    <col min="800" max="800" width="4.28515625" bestFit="1" customWidth="1"/>
    <col min="801" max="802" width="4.42578125" bestFit="1" customWidth="1"/>
    <col min="803" max="803" width="6.5703125" bestFit="1" customWidth="1"/>
    <col min="804" max="804" width="7.5703125" bestFit="1" customWidth="1"/>
    <col min="805" max="805" width="6.5703125" bestFit="1" customWidth="1"/>
    <col min="806" max="806" width="7.5703125" bestFit="1" customWidth="1"/>
    <col min="807" max="807" width="10.85546875" bestFit="1" customWidth="1"/>
    <col min="808" max="808" width="7" bestFit="1" customWidth="1"/>
    <col min="809" max="809" width="10" bestFit="1" customWidth="1"/>
    <col min="1029" max="1029" width="12.140625" bestFit="1" customWidth="1"/>
    <col min="1030" max="1030" width="27.42578125" bestFit="1" customWidth="1"/>
    <col min="1031" max="1032" width="4.5703125" bestFit="1" customWidth="1"/>
    <col min="1033" max="1033" width="8.42578125" bestFit="1" customWidth="1"/>
    <col min="1034" max="1036" width="3.28515625" bestFit="1" customWidth="1"/>
    <col min="1037" max="1037" width="25.5703125" bestFit="1" customWidth="1"/>
    <col min="1038" max="1038" width="8.140625" bestFit="1" customWidth="1"/>
    <col min="1039" max="1039" width="5.7109375" bestFit="1" customWidth="1"/>
    <col min="1040" max="1042" width="3.42578125" bestFit="1" customWidth="1"/>
    <col min="1043" max="1043" width="3.28515625" bestFit="1" customWidth="1"/>
    <col min="1044" max="1045" width="5.7109375" bestFit="1" customWidth="1"/>
    <col min="1046" max="1046" width="3.42578125" bestFit="1" customWidth="1"/>
    <col min="1047" max="1047" width="7.7109375" customWidth="1"/>
    <col min="1048" max="1048" width="5.42578125" bestFit="1" customWidth="1"/>
    <col min="1049" max="1050" width="4.85546875" bestFit="1" customWidth="1"/>
    <col min="1051" max="1051" width="5.7109375" bestFit="1" customWidth="1"/>
    <col min="1052" max="1052" width="8" customWidth="1"/>
    <col min="1053" max="1053" width="5.28515625" bestFit="1" customWidth="1"/>
    <col min="1054" max="1054" width="5.7109375" bestFit="1" customWidth="1"/>
    <col min="1055" max="1055" width="6.28515625" bestFit="1" customWidth="1"/>
    <col min="1056" max="1056" width="4.28515625" bestFit="1" customWidth="1"/>
    <col min="1057" max="1058" width="4.42578125" bestFit="1" customWidth="1"/>
    <col min="1059" max="1059" width="6.5703125" bestFit="1" customWidth="1"/>
    <col min="1060" max="1060" width="7.5703125" bestFit="1" customWidth="1"/>
    <col min="1061" max="1061" width="6.5703125" bestFit="1" customWidth="1"/>
    <col min="1062" max="1062" width="7.5703125" bestFit="1" customWidth="1"/>
    <col min="1063" max="1063" width="10.85546875" bestFit="1" customWidth="1"/>
    <col min="1064" max="1064" width="7" bestFit="1" customWidth="1"/>
    <col min="1065" max="1065" width="10" bestFit="1" customWidth="1"/>
    <col min="1285" max="1285" width="12.140625" bestFit="1" customWidth="1"/>
    <col min="1286" max="1286" width="27.42578125" bestFit="1" customWidth="1"/>
    <col min="1287" max="1288" width="4.5703125" bestFit="1" customWidth="1"/>
    <col min="1289" max="1289" width="8.42578125" bestFit="1" customWidth="1"/>
    <col min="1290" max="1292" width="3.28515625" bestFit="1" customWidth="1"/>
    <col min="1293" max="1293" width="25.5703125" bestFit="1" customWidth="1"/>
    <col min="1294" max="1294" width="8.140625" bestFit="1" customWidth="1"/>
    <col min="1295" max="1295" width="5.7109375" bestFit="1" customWidth="1"/>
    <col min="1296" max="1298" width="3.42578125" bestFit="1" customWidth="1"/>
    <col min="1299" max="1299" width="3.28515625" bestFit="1" customWidth="1"/>
    <col min="1300" max="1301" width="5.7109375" bestFit="1" customWidth="1"/>
    <col min="1302" max="1302" width="3.42578125" bestFit="1" customWidth="1"/>
    <col min="1303" max="1303" width="7.7109375" customWidth="1"/>
    <col min="1304" max="1304" width="5.42578125" bestFit="1" customWidth="1"/>
    <col min="1305" max="1306" width="4.85546875" bestFit="1" customWidth="1"/>
    <col min="1307" max="1307" width="5.7109375" bestFit="1" customWidth="1"/>
    <col min="1308" max="1308" width="8" customWidth="1"/>
    <col min="1309" max="1309" width="5.28515625" bestFit="1" customWidth="1"/>
    <col min="1310" max="1310" width="5.7109375" bestFit="1" customWidth="1"/>
    <col min="1311" max="1311" width="6.28515625" bestFit="1" customWidth="1"/>
    <col min="1312" max="1312" width="4.28515625" bestFit="1" customWidth="1"/>
    <col min="1313" max="1314" width="4.42578125" bestFit="1" customWidth="1"/>
    <col min="1315" max="1315" width="6.5703125" bestFit="1" customWidth="1"/>
    <col min="1316" max="1316" width="7.5703125" bestFit="1" customWidth="1"/>
    <col min="1317" max="1317" width="6.5703125" bestFit="1" customWidth="1"/>
    <col min="1318" max="1318" width="7.5703125" bestFit="1" customWidth="1"/>
    <col min="1319" max="1319" width="10.85546875" bestFit="1" customWidth="1"/>
    <col min="1320" max="1320" width="7" bestFit="1" customWidth="1"/>
    <col min="1321" max="1321" width="10" bestFit="1" customWidth="1"/>
    <col min="1541" max="1541" width="12.140625" bestFit="1" customWidth="1"/>
    <col min="1542" max="1542" width="27.42578125" bestFit="1" customWidth="1"/>
    <col min="1543" max="1544" width="4.5703125" bestFit="1" customWidth="1"/>
    <col min="1545" max="1545" width="8.42578125" bestFit="1" customWidth="1"/>
    <col min="1546" max="1548" width="3.28515625" bestFit="1" customWidth="1"/>
    <col min="1549" max="1549" width="25.5703125" bestFit="1" customWidth="1"/>
    <col min="1550" max="1550" width="8.140625" bestFit="1" customWidth="1"/>
    <col min="1551" max="1551" width="5.7109375" bestFit="1" customWidth="1"/>
    <col min="1552" max="1554" width="3.42578125" bestFit="1" customWidth="1"/>
    <col min="1555" max="1555" width="3.28515625" bestFit="1" customWidth="1"/>
    <col min="1556" max="1557" width="5.7109375" bestFit="1" customWidth="1"/>
    <col min="1558" max="1558" width="3.42578125" bestFit="1" customWidth="1"/>
    <col min="1559" max="1559" width="7.7109375" customWidth="1"/>
    <col min="1560" max="1560" width="5.42578125" bestFit="1" customWidth="1"/>
    <col min="1561" max="1562" width="4.85546875" bestFit="1" customWidth="1"/>
    <col min="1563" max="1563" width="5.7109375" bestFit="1" customWidth="1"/>
    <col min="1564" max="1564" width="8" customWidth="1"/>
    <col min="1565" max="1565" width="5.28515625" bestFit="1" customWidth="1"/>
    <col min="1566" max="1566" width="5.7109375" bestFit="1" customWidth="1"/>
    <col min="1567" max="1567" width="6.28515625" bestFit="1" customWidth="1"/>
    <col min="1568" max="1568" width="4.28515625" bestFit="1" customWidth="1"/>
    <col min="1569" max="1570" width="4.42578125" bestFit="1" customWidth="1"/>
    <col min="1571" max="1571" width="6.5703125" bestFit="1" customWidth="1"/>
    <col min="1572" max="1572" width="7.5703125" bestFit="1" customWidth="1"/>
    <col min="1573" max="1573" width="6.5703125" bestFit="1" customWidth="1"/>
    <col min="1574" max="1574" width="7.5703125" bestFit="1" customWidth="1"/>
    <col min="1575" max="1575" width="10.85546875" bestFit="1" customWidth="1"/>
    <col min="1576" max="1576" width="7" bestFit="1" customWidth="1"/>
    <col min="1577" max="1577" width="10" bestFit="1" customWidth="1"/>
    <col min="1797" max="1797" width="12.140625" bestFit="1" customWidth="1"/>
    <col min="1798" max="1798" width="27.42578125" bestFit="1" customWidth="1"/>
    <col min="1799" max="1800" width="4.5703125" bestFit="1" customWidth="1"/>
    <col min="1801" max="1801" width="8.42578125" bestFit="1" customWidth="1"/>
    <col min="1802" max="1804" width="3.28515625" bestFit="1" customWidth="1"/>
    <col min="1805" max="1805" width="25.5703125" bestFit="1" customWidth="1"/>
    <col min="1806" max="1806" width="8.140625" bestFit="1" customWidth="1"/>
    <col min="1807" max="1807" width="5.7109375" bestFit="1" customWidth="1"/>
    <col min="1808" max="1810" width="3.42578125" bestFit="1" customWidth="1"/>
    <col min="1811" max="1811" width="3.28515625" bestFit="1" customWidth="1"/>
    <col min="1812" max="1813" width="5.7109375" bestFit="1" customWidth="1"/>
    <col min="1814" max="1814" width="3.42578125" bestFit="1" customWidth="1"/>
    <col min="1815" max="1815" width="7.7109375" customWidth="1"/>
    <col min="1816" max="1816" width="5.42578125" bestFit="1" customWidth="1"/>
    <col min="1817" max="1818" width="4.85546875" bestFit="1" customWidth="1"/>
    <col min="1819" max="1819" width="5.7109375" bestFit="1" customWidth="1"/>
    <col min="1820" max="1820" width="8" customWidth="1"/>
    <col min="1821" max="1821" width="5.28515625" bestFit="1" customWidth="1"/>
    <col min="1822" max="1822" width="5.7109375" bestFit="1" customWidth="1"/>
    <col min="1823" max="1823" width="6.28515625" bestFit="1" customWidth="1"/>
    <col min="1824" max="1824" width="4.28515625" bestFit="1" customWidth="1"/>
    <col min="1825" max="1826" width="4.42578125" bestFit="1" customWidth="1"/>
    <col min="1827" max="1827" width="6.5703125" bestFit="1" customWidth="1"/>
    <col min="1828" max="1828" width="7.5703125" bestFit="1" customWidth="1"/>
    <col min="1829" max="1829" width="6.5703125" bestFit="1" customWidth="1"/>
    <col min="1830" max="1830" width="7.5703125" bestFit="1" customWidth="1"/>
    <col min="1831" max="1831" width="10.85546875" bestFit="1" customWidth="1"/>
    <col min="1832" max="1832" width="7" bestFit="1" customWidth="1"/>
    <col min="1833" max="1833" width="10" bestFit="1" customWidth="1"/>
    <col min="2053" max="2053" width="12.140625" bestFit="1" customWidth="1"/>
    <col min="2054" max="2054" width="27.42578125" bestFit="1" customWidth="1"/>
    <col min="2055" max="2056" width="4.5703125" bestFit="1" customWidth="1"/>
    <col min="2057" max="2057" width="8.42578125" bestFit="1" customWidth="1"/>
    <col min="2058" max="2060" width="3.28515625" bestFit="1" customWidth="1"/>
    <col min="2061" max="2061" width="25.5703125" bestFit="1" customWidth="1"/>
    <col min="2062" max="2062" width="8.140625" bestFit="1" customWidth="1"/>
    <col min="2063" max="2063" width="5.7109375" bestFit="1" customWidth="1"/>
    <col min="2064" max="2066" width="3.42578125" bestFit="1" customWidth="1"/>
    <col min="2067" max="2067" width="3.28515625" bestFit="1" customWidth="1"/>
    <col min="2068" max="2069" width="5.7109375" bestFit="1" customWidth="1"/>
    <col min="2070" max="2070" width="3.42578125" bestFit="1" customWidth="1"/>
    <col min="2071" max="2071" width="7.7109375" customWidth="1"/>
    <col min="2072" max="2072" width="5.42578125" bestFit="1" customWidth="1"/>
    <col min="2073" max="2074" width="4.85546875" bestFit="1" customWidth="1"/>
    <col min="2075" max="2075" width="5.7109375" bestFit="1" customWidth="1"/>
    <col min="2076" max="2076" width="8" customWidth="1"/>
    <col min="2077" max="2077" width="5.28515625" bestFit="1" customWidth="1"/>
    <col min="2078" max="2078" width="5.7109375" bestFit="1" customWidth="1"/>
    <col min="2079" max="2079" width="6.28515625" bestFit="1" customWidth="1"/>
    <col min="2080" max="2080" width="4.28515625" bestFit="1" customWidth="1"/>
    <col min="2081" max="2082" width="4.42578125" bestFit="1" customWidth="1"/>
    <col min="2083" max="2083" width="6.5703125" bestFit="1" customWidth="1"/>
    <col min="2084" max="2084" width="7.5703125" bestFit="1" customWidth="1"/>
    <col min="2085" max="2085" width="6.5703125" bestFit="1" customWidth="1"/>
    <col min="2086" max="2086" width="7.5703125" bestFit="1" customWidth="1"/>
    <col min="2087" max="2087" width="10.85546875" bestFit="1" customWidth="1"/>
    <col min="2088" max="2088" width="7" bestFit="1" customWidth="1"/>
    <col min="2089" max="2089" width="10" bestFit="1" customWidth="1"/>
    <col min="2309" max="2309" width="12.140625" bestFit="1" customWidth="1"/>
    <col min="2310" max="2310" width="27.42578125" bestFit="1" customWidth="1"/>
    <col min="2311" max="2312" width="4.5703125" bestFit="1" customWidth="1"/>
    <col min="2313" max="2313" width="8.42578125" bestFit="1" customWidth="1"/>
    <col min="2314" max="2316" width="3.28515625" bestFit="1" customWidth="1"/>
    <col min="2317" max="2317" width="25.5703125" bestFit="1" customWidth="1"/>
    <col min="2318" max="2318" width="8.140625" bestFit="1" customWidth="1"/>
    <col min="2319" max="2319" width="5.7109375" bestFit="1" customWidth="1"/>
    <col min="2320" max="2322" width="3.42578125" bestFit="1" customWidth="1"/>
    <col min="2323" max="2323" width="3.28515625" bestFit="1" customWidth="1"/>
    <col min="2324" max="2325" width="5.7109375" bestFit="1" customWidth="1"/>
    <col min="2326" max="2326" width="3.42578125" bestFit="1" customWidth="1"/>
    <col min="2327" max="2327" width="7.7109375" customWidth="1"/>
    <col min="2328" max="2328" width="5.42578125" bestFit="1" customWidth="1"/>
    <col min="2329" max="2330" width="4.85546875" bestFit="1" customWidth="1"/>
    <col min="2331" max="2331" width="5.7109375" bestFit="1" customWidth="1"/>
    <col min="2332" max="2332" width="8" customWidth="1"/>
    <col min="2333" max="2333" width="5.28515625" bestFit="1" customWidth="1"/>
    <col min="2334" max="2334" width="5.7109375" bestFit="1" customWidth="1"/>
    <col min="2335" max="2335" width="6.28515625" bestFit="1" customWidth="1"/>
    <col min="2336" max="2336" width="4.28515625" bestFit="1" customWidth="1"/>
    <col min="2337" max="2338" width="4.42578125" bestFit="1" customWidth="1"/>
    <col min="2339" max="2339" width="6.5703125" bestFit="1" customWidth="1"/>
    <col min="2340" max="2340" width="7.5703125" bestFit="1" customWidth="1"/>
    <col min="2341" max="2341" width="6.5703125" bestFit="1" customWidth="1"/>
    <col min="2342" max="2342" width="7.5703125" bestFit="1" customWidth="1"/>
    <col min="2343" max="2343" width="10.85546875" bestFit="1" customWidth="1"/>
    <col min="2344" max="2344" width="7" bestFit="1" customWidth="1"/>
    <col min="2345" max="2345" width="10" bestFit="1" customWidth="1"/>
    <col min="2565" max="2565" width="12.140625" bestFit="1" customWidth="1"/>
    <col min="2566" max="2566" width="27.42578125" bestFit="1" customWidth="1"/>
    <col min="2567" max="2568" width="4.5703125" bestFit="1" customWidth="1"/>
    <col min="2569" max="2569" width="8.42578125" bestFit="1" customWidth="1"/>
    <col min="2570" max="2572" width="3.28515625" bestFit="1" customWidth="1"/>
    <col min="2573" max="2573" width="25.5703125" bestFit="1" customWidth="1"/>
    <col min="2574" max="2574" width="8.140625" bestFit="1" customWidth="1"/>
    <col min="2575" max="2575" width="5.7109375" bestFit="1" customWidth="1"/>
    <col min="2576" max="2578" width="3.42578125" bestFit="1" customWidth="1"/>
    <col min="2579" max="2579" width="3.28515625" bestFit="1" customWidth="1"/>
    <col min="2580" max="2581" width="5.7109375" bestFit="1" customWidth="1"/>
    <col min="2582" max="2582" width="3.42578125" bestFit="1" customWidth="1"/>
    <col min="2583" max="2583" width="7.7109375" customWidth="1"/>
    <col min="2584" max="2584" width="5.42578125" bestFit="1" customWidth="1"/>
    <col min="2585" max="2586" width="4.85546875" bestFit="1" customWidth="1"/>
    <col min="2587" max="2587" width="5.7109375" bestFit="1" customWidth="1"/>
    <col min="2588" max="2588" width="8" customWidth="1"/>
    <col min="2589" max="2589" width="5.28515625" bestFit="1" customWidth="1"/>
    <col min="2590" max="2590" width="5.7109375" bestFit="1" customWidth="1"/>
    <col min="2591" max="2591" width="6.28515625" bestFit="1" customWidth="1"/>
    <col min="2592" max="2592" width="4.28515625" bestFit="1" customWidth="1"/>
    <col min="2593" max="2594" width="4.42578125" bestFit="1" customWidth="1"/>
    <col min="2595" max="2595" width="6.5703125" bestFit="1" customWidth="1"/>
    <col min="2596" max="2596" width="7.5703125" bestFit="1" customWidth="1"/>
    <col min="2597" max="2597" width="6.5703125" bestFit="1" customWidth="1"/>
    <col min="2598" max="2598" width="7.5703125" bestFit="1" customWidth="1"/>
    <col min="2599" max="2599" width="10.85546875" bestFit="1" customWidth="1"/>
    <col min="2600" max="2600" width="7" bestFit="1" customWidth="1"/>
    <col min="2601" max="2601" width="10" bestFit="1" customWidth="1"/>
    <col min="2821" max="2821" width="12.140625" bestFit="1" customWidth="1"/>
    <col min="2822" max="2822" width="27.42578125" bestFit="1" customWidth="1"/>
    <col min="2823" max="2824" width="4.5703125" bestFit="1" customWidth="1"/>
    <col min="2825" max="2825" width="8.42578125" bestFit="1" customWidth="1"/>
    <col min="2826" max="2828" width="3.28515625" bestFit="1" customWidth="1"/>
    <col min="2829" max="2829" width="25.5703125" bestFit="1" customWidth="1"/>
    <col min="2830" max="2830" width="8.140625" bestFit="1" customWidth="1"/>
    <col min="2831" max="2831" width="5.7109375" bestFit="1" customWidth="1"/>
    <col min="2832" max="2834" width="3.42578125" bestFit="1" customWidth="1"/>
    <col min="2835" max="2835" width="3.28515625" bestFit="1" customWidth="1"/>
    <col min="2836" max="2837" width="5.7109375" bestFit="1" customWidth="1"/>
    <col min="2838" max="2838" width="3.42578125" bestFit="1" customWidth="1"/>
    <col min="2839" max="2839" width="7.7109375" customWidth="1"/>
    <col min="2840" max="2840" width="5.42578125" bestFit="1" customWidth="1"/>
    <col min="2841" max="2842" width="4.85546875" bestFit="1" customWidth="1"/>
    <col min="2843" max="2843" width="5.7109375" bestFit="1" customWidth="1"/>
    <col min="2844" max="2844" width="8" customWidth="1"/>
    <col min="2845" max="2845" width="5.28515625" bestFit="1" customWidth="1"/>
    <col min="2846" max="2846" width="5.7109375" bestFit="1" customWidth="1"/>
    <col min="2847" max="2847" width="6.28515625" bestFit="1" customWidth="1"/>
    <col min="2848" max="2848" width="4.28515625" bestFit="1" customWidth="1"/>
    <col min="2849" max="2850" width="4.42578125" bestFit="1" customWidth="1"/>
    <col min="2851" max="2851" width="6.5703125" bestFit="1" customWidth="1"/>
    <col min="2852" max="2852" width="7.5703125" bestFit="1" customWidth="1"/>
    <col min="2853" max="2853" width="6.5703125" bestFit="1" customWidth="1"/>
    <col min="2854" max="2854" width="7.5703125" bestFit="1" customWidth="1"/>
    <col min="2855" max="2855" width="10.85546875" bestFit="1" customWidth="1"/>
    <col min="2856" max="2856" width="7" bestFit="1" customWidth="1"/>
    <col min="2857" max="2857" width="10" bestFit="1" customWidth="1"/>
    <col min="3077" max="3077" width="12.140625" bestFit="1" customWidth="1"/>
    <col min="3078" max="3078" width="27.42578125" bestFit="1" customWidth="1"/>
    <col min="3079" max="3080" width="4.5703125" bestFit="1" customWidth="1"/>
    <col min="3081" max="3081" width="8.42578125" bestFit="1" customWidth="1"/>
    <col min="3082" max="3084" width="3.28515625" bestFit="1" customWidth="1"/>
    <col min="3085" max="3085" width="25.5703125" bestFit="1" customWidth="1"/>
    <col min="3086" max="3086" width="8.140625" bestFit="1" customWidth="1"/>
    <col min="3087" max="3087" width="5.7109375" bestFit="1" customWidth="1"/>
    <col min="3088" max="3090" width="3.42578125" bestFit="1" customWidth="1"/>
    <col min="3091" max="3091" width="3.28515625" bestFit="1" customWidth="1"/>
    <col min="3092" max="3093" width="5.7109375" bestFit="1" customWidth="1"/>
    <col min="3094" max="3094" width="3.42578125" bestFit="1" customWidth="1"/>
    <col min="3095" max="3095" width="7.7109375" customWidth="1"/>
    <col min="3096" max="3096" width="5.42578125" bestFit="1" customWidth="1"/>
    <col min="3097" max="3098" width="4.85546875" bestFit="1" customWidth="1"/>
    <col min="3099" max="3099" width="5.7109375" bestFit="1" customWidth="1"/>
    <col min="3100" max="3100" width="8" customWidth="1"/>
    <col min="3101" max="3101" width="5.28515625" bestFit="1" customWidth="1"/>
    <col min="3102" max="3102" width="5.7109375" bestFit="1" customWidth="1"/>
    <col min="3103" max="3103" width="6.28515625" bestFit="1" customWidth="1"/>
    <col min="3104" max="3104" width="4.28515625" bestFit="1" customWidth="1"/>
    <col min="3105" max="3106" width="4.42578125" bestFit="1" customWidth="1"/>
    <col min="3107" max="3107" width="6.5703125" bestFit="1" customWidth="1"/>
    <col min="3108" max="3108" width="7.5703125" bestFit="1" customWidth="1"/>
    <col min="3109" max="3109" width="6.5703125" bestFit="1" customWidth="1"/>
    <col min="3110" max="3110" width="7.5703125" bestFit="1" customWidth="1"/>
    <col min="3111" max="3111" width="10.85546875" bestFit="1" customWidth="1"/>
    <col min="3112" max="3112" width="7" bestFit="1" customWidth="1"/>
    <col min="3113" max="3113" width="10" bestFit="1" customWidth="1"/>
    <col min="3333" max="3333" width="12.140625" bestFit="1" customWidth="1"/>
    <col min="3334" max="3334" width="27.42578125" bestFit="1" customWidth="1"/>
    <col min="3335" max="3336" width="4.5703125" bestFit="1" customWidth="1"/>
    <col min="3337" max="3337" width="8.42578125" bestFit="1" customWidth="1"/>
    <col min="3338" max="3340" width="3.28515625" bestFit="1" customWidth="1"/>
    <col min="3341" max="3341" width="25.5703125" bestFit="1" customWidth="1"/>
    <col min="3342" max="3342" width="8.140625" bestFit="1" customWidth="1"/>
    <col min="3343" max="3343" width="5.7109375" bestFit="1" customWidth="1"/>
    <col min="3344" max="3346" width="3.42578125" bestFit="1" customWidth="1"/>
    <col min="3347" max="3347" width="3.28515625" bestFit="1" customWidth="1"/>
    <col min="3348" max="3349" width="5.7109375" bestFit="1" customWidth="1"/>
    <col min="3350" max="3350" width="3.42578125" bestFit="1" customWidth="1"/>
    <col min="3351" max="3351" width="7.7109375" customWidth="1"/>
    <col min="3352" max="3352" width="5.42578125" bestFit="1" customWidth="1"/>
    <col min="3353" max="3354" width="4.85546875" bestFit="1" customWidth="1"/>
    <col min="3355" max="3355" width="5.7109375" bestFit="1" customWidth="1"/>
    <col min="3356" max="3356" width="8" customWidth="1"/>
    <col min="3357" max="3357" width="5.28515625" bestFit="1" customWidth="1"/>
    <col min="3358" max="3358" width="5.7109375" bestFit="1" customWidth="1"/>
    <col min="3359" max="3359" width="6.28515625" bestFit="1" customWidth="1"/>
    <col min="3360" max="3360" width="4.28515625" bestFit="1" customWidth="1"/>
    <col min="3361" max="3362" width="4.42578125" bestFit="1" customWidth="1"/>
    <col min="3363" max="3363" width="6.5703125" bestFit="1" customWidth="1"/>
    <col min="3364" max="3364" width="7.5703125" bestFit="1" customWidth="1"/>
    <col min="3365" max="3365" width="6.5703125" bestFit="1" customWidth="1"/>
    <col min="3366" max="3366" width="7.5703125" bestFit="1" customWidth="1"/>
    <col min="3367" max="3367" width="10.85546875" bestFit="1" customWidth="1"/>
    <col min="3368" max="3368" width="7" bestFit="1" customWidth="1"/>
    <col min="3369" max="3369" width="10" bestFit="1" customWidth="1"/>
    <col min="3589" max="3589" width="12.140625" bestFit="1" customWidth="1"/>
    <col min="3590" max="3590" width="27.42578125" bestFit="1" customWidth="1"/>
    <col min="3591" max="3592" width="4.5703125" bestFit="1" customWidth="1"/>
    <col min="3593" max="3593" width="8.42578125" bestFit="1" customWidth="1"/>
    <col min="3594" max="3596" width="3.28515625" bestFit="1" customWidth="1"/>
    <col min="3597" max="3597" width="25.5703125" bestFit="1" customWidth="1"/>
    <col min="3598" max="3598" width="8.140625" bestFit="1" customWidth="1"/>
    <col min="3599" max="3599" width="5.7109375" bestFit="1" customWidth="1"/>
    <col min="3600" max="3602" width="3.42578125" bestFit="1" customWidth="1"/>
    <col min="3603" max="3603" width="3.28515625" bestFit="1" customWidth="1"/>
    <col min="3604" max="3605" width="5.7109375" bestFit="1" customWidth="1"/>
    <col min="3606" max="3606" width="3.42578125" bestFit="1" customWidth="1"/>
    <col min="3607" max="3607" width="7.7109375" customWidth="1"/>
    <col min="3608" max="3608" width="5.42578125" bestFit="1" customWidth="1"/>
    <col min="3609" max="3610" width="4.85546875" bestFit="1" customWidth="1"/>
    <col min="3611" max="3611" width="5.7109375" bestFit="1" customWidth="1"/>
    <col min="3612" max="3612" width="8" customWidth="1"/>
    <col min="3613" max="3613" width="5.28515625" bestFit="1" customWidth="1"/>
    <col min="3614" max="3614" width="5.7109375" bestFit="1" customWidth="1"/>
    <col min="3615" max="3615" width="6.28515625" bestFit="1" customWidth="1"/>
    <col min="3616" max="3616" width="4.28515625" bestFit="1" customWidth="1"/>
    <col min="3617" max="3618" width="4.42578125" bestFit="1" customWidth="1"/>
    <col min="3619" max="3619" width="6.5703125" bestFit="1" customWidth="1"/>
    <col min="3620" max="3620" width="7.5703125" bestFit="1" customWidth="1"/>
    <col min="3621" max="3621" width="6.5703125" bestFit="1" customWidth="1"/>
    <col min="3622" max="3622" width="7.5703125" bestFit="1" customWidth="1"/>
    <col min="3623" max="3623" width="10.85546875" bestFit="1" customWidth="1"/>
    <col min="3624" max="3624" width="7" bestFit="1" customWidth="1"/>
    <col min="3625" max="3625" width="10" bestFit="1" customWidth="1"/>
    <col min="3845" max="3845" width="12.140625" bestFit="1" customWidth="1"/>
    <col min="3846" max="3846" width="27.42578125" bestFit="1" customWidth="1"/>
    <col min="3847" max="3848" width="4.5703125" bestFit="1" customWidth="1"/>
    <col min="3849" max="3849" width="8.42578125" bestFit="1" customWidth="1"/>
    <col min="3850" max="3852" width="3.28515625" bestFit="1" customWidth="1"/>
    <col min="3853" max="3853" width="25.5703125" bestFit="1" customWidth="1"/>
    <col min="3854" max="3854" width="8.140625" bestFit="1" customWidth="1"/>
    <col min="3855" max="3855" width="5.7109375" bestFit="1" customWidth="1"/>
    <col min="3856" max="3858" width="3.42578125" bestFit="1" customWidth="1"/>
    <col min="3859" max="3859" width="3.28515625" bestFit="1" customWidth="1"/>
    <col min="3860" max="3861" width="5.7109375" bestFit="1" customWidth="1"/>
    <col min="3862" max="3862" width="3.42578125" bestFit="1" customWidth="1"/>
    <col min="3863" max="3863" width="7.7109375" customWidth="1"/>
    <col min="3864" max="3864" width="5.42578125" bestFit="1" customWidth="1"/>
    <col min="3865" max="3866" width="4.85546875" bestFit="1" customWidth="1"/>
    <col min="3867" max="3867" width="5.7109375" bestFit="1" customWidth="1"/>
    <col min="3868" max="3868" width="8" customWidth="1"/>
    <col min="3869" max="3869" width="5.28515625" bestFit="1" customWidth="1"/>
    <col min="3870" max="3870" width="5.7109375" bestFit="1" customWidth="1"/>
    <col min="3871" max="3871" width="6.28515625" bestFit="1" customWidth="1"/>
    <col min="3872" max="3872" width="4.28515625" bestFit="1" customWidth="1"/>
    <col min="3873" max="3874" width="4.42578125" bestFit="1" customWidth="1"/>
    <col min="3875" max="3875" width="6.5703125" bestFit="1" customWidth="1"/>
    <col min="3876" max="3876" width="7.5703125" bestFit="1" customWidth="1"/>
    <col min="3877" max="3877" width="6.5703125" bestFit="1" customWidth="1"/>
    <col min="3878" max="3878" width="7.5703125" bestFit="1" customWidth="1"/>
    <col min="3879" max="3879" width="10.85546875" bestFit="1" customWidth="1"/>
    <col min="3880" max="3880" width="7" bestFit="1" customWidth="1"/>
    <col min="3881" max="3881" width="10" bestFit="1" customWidth="1"/>
    <col min="4101" max="4101" width="12.140625" bestFit="1" customWidth="1"/>
    <col min="4102" max="4102" width="27.42578125" bestFit="1" customWidth="1"/>
    <col min="4103" max="4104" width="4.5703125" bestFit="1" customWidth="1"/>
    <col min="4105" max="4105" width="8.42578125" bestFit="1" customWidth="1"/>
    <col min="4106" max="4108" width="3.28515625" bestFit="1" customWidth="1"/>
    <col min="4109" max="4109" width="25.5703125" bestFit="1" customWidth="1"/>
    <col min="4110" max="4110" width="8.140625" bestFit="1" customWidth="1"/>
    <col min="4111" max="4111" width="5.7109375" bestFit="1" customWidth="1"/>
    <col min="4112" max="4114" width="3.42578125" bestFit="1" customWidth="1"/>
    <col min="4115" max="4115" width="3.28515625" bestFit="1" customWidth="1"/>
    <col min="4116" max="4117" width="5.7109375" bestFit="1" customWidth="1"/>
    <col min="4118" max="4118" width="3.42578125" bestFit="1" customWidth="1"/>
    <col min="4119" max="4119" width="7.7109375" customWidth="1"/>
    <col min="4120" max="4120" width="5.42578125" bestFit="1" customWidth="1"/>
    <col min="4121" max="4122" width="4.85546875" bestFit="1" customWidth="1"/>
    <col min="4123" max="4123" width="5.7109375" bestFit="1" customWidth="1"/>
    <col min="4124" max="4124" width="8" customWidth="1"/>
    <col min="4125" max="4125" width="5.28515625" bestFit="1" customWidth="1"/>
    <col min="4126" max="4126" width="5.7109375" bestFit="1" customWidth="1"/>
    <col min="4127" max="4127" width="6.28515625" bestFit="1" customWidth="1"/>
    <col min="4128" max="4128" width="4.28515625" bestFit="1" customWidth="1"/>
    <col min="4129" max="4130" width="4.42578125" bestFit="1" customWidth="1"/>
    <col min="4131" max="4131" width="6.5703125" bestFit="1" customWidth="1"/>
    <col min="4132" max="4132" width="7.5703125" bestFit="1" customWidth="1"/>
    <col min="4133" max="4133" width="6.5703125" bestFit="1" customWidth="1"/>
    <col min="4134" max="4134" width="7.5703125" bestFit="1" customWidth="1"/>
    <col min="4135" max="4135" width="10.85546875" bestFit="1" customWidth="1"/>
    <col min="4136" max="4136" width="7" bestFit="1" customWidth="1"/>
    <col min="4137" max="4137" width="10" bestFit="1" customWidth="1"/>
    <col min="4357" max="4357" width="12.140625" bestFit="1" customWidth="1"/>
    <col min="4358" max="4358" width="27.42578125" bestFit="1" customWidth="1"/>
    <col min="4359" max="4360" width="4.5703125" bestFit="1" customWidth="1"/>
    <col min="4361" max="4361" width="8.42578125" bestFit="1" customWidth="1"/>
    <col min="4362" max="4364" width="3.28515625" bestFit="1" customWidth="1"/>
    <col min="4365" max="4365" width="25.5703125" bestFit="1" customWidth="1"/>
    <col min="4366" max="4366" width="8.140625" bestFit="1" customWidth="1"/>
    <col min="4367" max="4367" width="5.7109375" bestFit="1" customWidth="1"/>
    <col min="4368" max="4370" width="3.42578125" bestFit="1" customWidth="1"/>
    <col min="4371" max="4371" width="3.28515625" bestFit="1" customWidth="1"/>
    <col min="4372" max="4373" width="5.7109375" bestFit="1" customWidth="1"/>
    <col min="4374" max="4374" width="3.42578125" bestFit="1" customWidth="1"/>
    <col min="4375" max="4375" width="7.7109375" customWidth="1"/>
    <col min="4376" max="4376" width="5.42578125" bestFit="1" customWidth="1"/>
    <col min="4377" max="4378" width="4.85546875" bestFit="1" customWidth="1"/>
    <col min="4379" max="4379" width="5.7109375" bestFit="1" customWidth="1"/>
    <col min="4380" max="4380" width="8" customWidth="1"/>
    <col min="4381" max="4381" width="5.28515625" bestFit="1" customWidth="1"/>
    <col min="4382" max="4382" width="5.7109375" bestFit="1" customWidth="1"/>
    <col min="4383" max="4383" width="6.28515625" bestFit="1" customWidth="1"/>
    <col min="4384" max="4384" width="4.28515625" bestFit="1" customWidth="1"/>
    <col min="4385" max="4386" width="4.42578125" bestFit="1" customWidth="1"/>
    <col min="4387" max="4387" width="6.5703125" bestFit="1" customWidth="1"/>
    <col min="4388" max="4388" width="7.5703125" bestFit="1" customWidth="1"/>
    <col min="4389" max="4389" width="6.5703125" bestFit="1" customWidth="1"/>
    <col min="4390" max="4390" width="7.5703125" bestFit="1" customWidth="1"/>
    <col min="4391" max="4391" width="10.85546875" bestFit="1" customWidth="1"/>
    <col min="4392" max="4392" width="7" bestFit="1" customWidth="1"/>
    <col min="4393" max="4393" width="10" bestFit="1" customWidth="1"/>
    <col min="4613" max="4613" width="12.140625" bestFit="1" customWidth="1"/>
    <col min="4614" max="4614" width="27.42578125" bestFit="1" customWidth="1"/>
    <col min="4615" max="4616" width="4.5703125" bestFit="1" customWidth="1"/>
    <col min="4617" max="4617" width="8.42578125" bestFit="1" customWidth="1"/>
    <col min="4618" max="4620" width="3.28515625" bestFit="1" customWidth="1"/>
    <col min="4621" max="4621" width="25.5703125" bestFit="1" customWidth="1"/>
    <col min="4622" max="4622" width="8.140625" bestFit="1" customWidth="1"/>
    <col min="4623" max="4623" width="5.7109375" bestFit="1" customWidth="1"/>
    <col min="4624" max="4626" width="3.42578125" bestFit="1" customWidth="1"/>
    <col min="4627" max="4627" width="3.28515625" bestFit="1" customWidth="1"/>
    <col min="4628" max="4629" width="5.7109375" bestFit="1" customWidth="1"/>
    <col min="4630" max="4630" width="3.42578125" bestFit="1" customWidth="1"/>
    <col min="4631" max="4631" width="7.7109375" customWidth="1"/>
    <col min="4632" max="4632" width="5.42578125" bestFit="1" customWidth="1"/>
    <col min="4633" max="4634" width="4.85546875" bestFit="1" customWidth="1"/>
    <col min="4635" max="4635" width="5.7109375" bestFit="1" customWidth="1"/>
    <col min="4636" max="4636" width="8" customWidth="1"/>
    <col min="4637" max="4637" width="5.28515625" bestFit="1" customWidth="1"/>
    <col min="4638" max="4638" width="5.7109375" bestFit="1" customWidth="1"/>
    <col min="4639" max="4639" width="6.28515625" bestFit="1" customWidth="1"/>
    <col min="4640" max="4640" width="4.28515625" bestFit="1" customWidth="1"/>
    <col min="4641" max="4642" width="4.42578125" bestFit="1" customWidth="1"/>
    <col min="4643" max="4643" width="6.5703125" bestFit="1" customWidth="1"/>
    <col min="4644" max="4644" width="7.5703125" bestFit="1" customWidth="1"/>
    <col min="4645" max="4645" width="6.5703125" bestFit="1" customWidth="1"/>
    <col min="4646" max="4646" width="7.5703125" bestFit="1" customWidth="1"/>
    <col min="4647" max="4647" width="10.85546875" bestFit="1" customWidth="1"/>
    <col min="4648" max="4648" width="7" bestFit="1" customWidth="1"/>
    <col min="4649" max="4649" width="10" bestFit="1" customWidth="1"/>
    <col min="4869" max="4869" width="12.140625" bestFit="1" customWidth="1"/>
    <col min="4870" max="4870" width="27.42578125" bestFit="1" customWidth="1"/>
    <col min="4871" max="4872" width="4.5703125" bestFit="1" customWidth="1"/>
    <col min="4873" max="4873" width="8.42578125" bestFit="1" customWidth="1"/>
    <col min="4874" max="4876" width="3.28515625" bestFit="1" customWidth="1"/>
    <col min="4877" max="4877" width="25.5703125" bestFit="1" customWidth="1"/>
    <col min="4878" max="4878" width="8.140625" bestFit="1" customWidth="1"/>
    <col min="4879" max="4879" width="5.7109375" bestFit="1" customWidth="1"/>
    <col min="4880" max="4882" width="3.42578125" bestFit="1" customWidth="1"/>
    <col min="4883" max="4883" width="3.28515625" bestFit="1" customWidth="1"/>
    <col min="4884" max="4885" width="5.7109375" bestFit="1" customWidth="1"/>
    <col min="4886" max="4886" width="3.42578125" bestFit="1" customWidth="1"/>
    <col min="4887" max="4887" width="7.7109375" customWidth="1"/>
    <col min="4888" max="4888" width="5.42578125" bestFit="1" customWidth="1"/>
    <col min="4889" max="4890" width="4.85546875" bestFit="1" customWidth="1"/>
    <col min="4891" max="4891" width="5.7109375" bestFit="1" customWidth="1"/>
    <col min="4892" max="4892" width="8" customWidth="1"/>
    <col min="4893" max="4893" width="5.28515625" bestFit="1" customWidth="1"/>
    <col min="4894" max="4894" width="5.7109375" bestFit="1" customWidth="1"/>
    <col min="4895" max="4895" width="6.28515625" bestFit="1" customWidth="1"/>
    <col min="4896" max="4896" width="4.28515625" bestFit="1" customWidth="1"/>
    <col min="4897" max="4898" width="4.42578125" bestFit="1" customWidth="1"/>
    <col min="4899" max="4899" width="6.5703125" bestFit="1" customWidth="1"/>
    <col min="4900" max="4900" width="7.5703125" bestFit="1" customWidth="1"/>
    <col min="4901" max="4901" width="6.5703125" bestFit="1" customWidth="1"/>
    <col min="4902" max="4902" width="7.5703125" bestFit="1" customWidth="1"/>
    <col min="4903" max="4903" width="10.85546875" bestFit="1" customWidth="1"/>
    <col min="4904" max="4904" width="7" bestFit="1" customWidth="1"/>
    <col min="4905" max="4905" width="10" bestFit="1" customWidth="1"/>
    <col min="5125" max="5125" width="12.140625" bestFit="1" customWidth="1"/>
    <col min="5126" max="5126" width="27.42578125" bestFit="1" customWidth="1"/>
    <col min="5127" max="5128" width="4.5703125" bestFit="1" customWidth="1"/>
    <col min="5129" max="5129" width="8.42578125" bestFit="1" customWidth="1"/>
    <col min="5130" max="5132" width="3.28515625" bestFit="1" customWidth="1"/>
    <col min="5133" max="5133" width="25.5703125" bestFit="1" customWidth="1"/>
    <col min="5134" max="5134" width="8.140625" bestFit="1" customWidth="1"/>
    <col min="5135" max="5135" width="5.7109375" bestFit="1" customWidth="1"/>
    <col min="5136" max="5138" width="3.42578125" bestFit="1" customWidth="1"/>
    <col min="5139" max="5139" width="3.28515625" bestFit="1" customWidth="1"/>
    <col min="5140" max="5141" width="5.7109375" bestFit="1" customWidth="1"/>
    <col min="5142" max="5142" width="3.42578125" bestFit="1" customWidth="1"/>
    <col min="5143" max="5143" width="7.7109375" customWidth="1"/>
    <col min="5144" max="5144" width="5.42578125" bestFit="1" customWidth="1"/>
    <col min="5145" max="5146" width="4.85546875" bestFit="1" customWidth="1"/>
    <col min="5147" max="5147" width="5.7109375" bestFit="1" customWidth="1"/>
    <col min="5148" max="5148" width="8" customWidth="1"/>
    <col min="5149" max="5149" width="5.28515625" bestFit="1" customWidth="1"/>
    <col min="5150" max="5150" width="5.7109375" bestFit="1" customWidth="1"/>
    <col min="5151" max="5151" width="6.28515625" bestFit="1" customWidth="1"/>
    <col min="5152" max="5152" width="4.28515625" bestFit="1" customWidth="1"/>
    <col min="5153" max="5154" width="4.42578125" bestFit="1" customWidth="1"/>
    <col min="5155" max="5155" width="6.5703125" bestFit="1" customWidth="1"/>
    <col min="5156" max="5156" width="7.5703125" bestFit="1" customWidth="1"/>
    <col min="5157" max="5157" width="6.5703125" bestFit="1" customWidth="1"/>
    <col min="5158" max="5158" width="7.5703125" bestFit="1" customWidth="1"/>
    <col min="5159" max="5159" width="10.85546875" bestFit="1" customWidth="1"/>
    <col min="5160" max="5160" width="7" bestFit="1" customWidth="1"/>
    <col min="5161" max="5161" width="10" bestFit="1" customWidth="1"/>
    <col min="5381" max="5381" width="12.140625" bestFit="1" customWidth="1"/>
    <col min="5382" max="5382" width="27.42578125" bestFit="1" customWidth="1"/>
    <col min="5383" max="5384" width="4.5703125" bestFit="1" customWidth="1"/>
    <col min="5385" max="5385" width="8.42578125" bestFit="1" customWidth="1"/>
    <col min="5386" max="5388" width="3.28515625" bestFit="1" customWidth="1"/>
    <col min="5389" max="5389" width="25.5703125" bestFit="1" customWidth="1"/>
    <col min="5390" max="5390" width="8.140625" bestFit="1" customWidth="1"/>
    <col min="5391" max="5391" width="5.7109375" bestFit="1" customWidth="1"/>
    <col min="5392" max="5394" width="3.42578125" bestFit="1" customWidth="1"/>
    <col min="5395" max="5395" width="3.28515625" bestFit="1" customWidth="1"/>
    <col min="5396" max="5397" width="5.7109375" bestFit="1" customWidth="1"/>
    <col min="5398" max="5398" width="3.42578125" bestFit="1" customWidth="1"/>
    <col min="5399" max="5399" width="7.7109375" customWidth="1"/>
    <col min="5400" max="5400" width="5.42578125" bestFit="1" customWidth="1"/>
    <col min="5401" max="5402" width="4.85546875" bestFit="1" customWidth="1"/>
    <col min="5403" max="5403" width="5.7109375" bestFit="1" customWidth="1"/>
    <col min="5404" max="5404" width="8" customWidth="1"/>
    <col min="5405" max="5405" width="5.28515625" bestFit="1" customWidth="1"/>
    <col min="5406" max="5406" width="5.7109375" bestFit="1" customWidth="1"/>
    <col min="5407" max="5407" width="6.28515625" bestFit="1" customWidth="1"/>
    <col min="5408" max="5408" width="4.28515625" bestFit="1" customWidth="1"/>
    <col min="5409" max="5410" width="4.42578125" bestFit="1" customWidth="1"/>
    <col min="5411" max="5411" width="6.5703125" bestFit="1" customWidth="1"/>
    <col min="5412" max="5412" width="7.5703125" bestFit="1" customWidth="1"/>
    <col min="5413" max="5413" width="6.5703125" bestFit="1" customWidth="1"/>
    <col min="5414" max="5414" width="7.5703125" bestFit="1" customWidth="1"/>
    <col min="5415" max="5415" width="10.85546875" bestFit="1" customWidth="1"/>
    <col min="5416" max="5416" width="7" bestFit="1" customWidth="1"/>
    <col min="5417" max="5417" width="10" bestFit="1" customWidth="1"/>
    <col min="5637" max="5637" width="12.140625" bestFit="1" customWidth="1"/>
    <col min="5638" max="5638" width="27.42578125" bestFit="1" customWidth="1"/>
    <col min="5639" max="5640" width="4.5703125" bestFit="1" customWidth="1"/>
    <col min="5641" max="5641" width="8.42578125" bestFit="1" customWidth="1"/>
    <col min="5642" max="5644" width="3.28515625" bestFit="1" customWidth="1"/>
    <col min="5645" max="5645" width="25.5703125" bestFit="1" customWidth="1"/>
    <col min="5646" max="5646" width="8.140625" bestFit="1" customWidth="1"/>
    <col min="5647" max="5647" width="5.7109375" bestFit="1" customWidth="1"/>
    <col min="5648" max="5650" width="3.42578125" bestFit="1" customWidth="1"/>
    <col min="5651" max="5651" width="3.28515625" bestFit="1" customWidth="1"/>
    <col min="5652" max="5653" width="5.7109375" bestFit="1" customWidth="1"/>
    <col min="5654" max="5654" width="3.42578125" bestFit="1" customWidth="1"/>
    <col min="5655" max="5655" width="7.7109375" customWidth="1"/>
    <col min="5656" max="5656" width="5.42578125" bestFit="1" customWidth="1"/>
    <col min="5657" max="5658" width="4.85546875" bestFit="1" customWidth="1"/>
    <col min="5659" max="5659" width="5.7109375" bestFit="1" customWidth="1"/>
    <col min="5660" max="5660" width="8" customWidth="1"/>
    <col min="5661" max="5661" width="5.28515625" bestFit="1" customWidth="1"/>
    <col min="5662" max="5662" width="5.7109375" bestFit="1" customWidth="1"/>
    <col min="5663" max="5663" width="6.28515625" bestFit="1" customWidth="1"/>
    <col min="5664" max="5664" width="4.28515625" bestFit="1" customWidth="1"/>
    <col min="5665" max="5666" width="4.42578125" bestFit="1" customWidth="1"/>
    <col min="5667" max="5667" width="6.5703125" bestFit="1" customWidth="1"/>
    <col min="5668" max="5668" width="7.5703125" bestFit="1" customWidth="1"/>
    <col min="5669" max="5669" width="6.5703125" bestFit="1" customWidth="1"/>
    <col min="5670" max="5670" width="7.5703125" bestFit="1" customWidth="1"/>
    <col min="5671" max="5671" width="10.85546875" bestFit="1" customWidth="1"/>
    <col min="5672" max="5672" width="7" bestFit="1" customWidth="1"/>
    <col min="5673" max="5673" width="10" bestFit="1" customWidth="1"/>
    <col min="5893" max="5893" width="12.140625" bestFit="1" customWidth="1"/>
    <col min="5894" max="5894" width="27.42578125" bestFit="1" customWidth="1"/>
    <col min="5895" max="5896" width="4.5703125" bestFit="1" customWidth="1"/>
    <col min="5897" max="5897" width="8.42578125" bestFit="1" customWidth="1"/>
    <col min="5898" max="5900" width="3.28515625" bestFit="1" customWidth="1"/>
    <col min="5901" max="5901" width="25.5703125" bestFit="1" customWidth="1"/>
    <col min="5902" max="5902" width="8.140625" bestFit="1" customWidth="1"/>
    <col min="5903" max="5903" width="5.7109375" bestFit="1" customWidth="1"/>
    <col min="5904" max="5906" width="3.42578125" bestFit="1" customWidth="1"/>
    <col min="5907" max="5907" width="3.28515625" bestFit="1" customWidth="1"/>
    <col min="5908" max="5909" width="5.7109375" bestFit="1" customWidth="1"/>
    <col min="5910" max="5910" width="3.42578125" bestFit="1" customWidth="1"/>
    <col min="5911" max="5911" width="7.7109375" customWidth="1"/>
    <col min="5912" max="5912" width="5.42578125" bestFit="1" customWidth="1"/>
    <col min="5913" max="5914" width="4.85546875" bestFit="1" customWidth="1"/>
    <col min="5915" max="5915" width="5.7109375" bestFit="1" customWidth="1"/>
    <col min="5916" max="5916" width="8" customWidth="1"/>
    <col min="5917" max="5917" width="5.28515625" bestFit="1" customWidth="1"/>
    <col min="5918" max="5918" width="5.7109375" bestFit="1" customWidth="1"/>
    <col min="5919" max="5919" width="6.28515625" bestFit="1" customWidth="1"/>
    <col min="5920" max="5920" width="4.28515625" bestFit="1" customWidth="1"/>
    <col min="5921" max="5922" width="4.42578125" bestFit="1" customWidth="1"/>
    <col min="5923" max="5923" width="6.5703125" bestFit="1" customWidth="1"/>
    <col min="5924" max="5924" width="7.5703125" bestFit="1" customWidth="1"/>
    <col min="5925" max="5925" width="6.5703125" bestFit="1" customWidth="1"/>
    <col min="5926" max="5926" width="7.5703125" bestFit="1" customWidth="1"/>
    <col min="5927" max="5927" width="10.85546875" bestFit="1" customWidth="1"/>
    <col min="5928" max="5928" width="7" bestFit="1" customWidth="1"/>
    <col min="5929" max="5929" width="10" bestFit="1" customWidth="1"/>
    <col min="6149" max="6149" width="12.140625" bestFit="1" customWidth="1"/>
    <col min="6150" max="6150" width="27.42578125" bestFit="1" customWidth="1"/>
    <col min="6151" max="6152" width="4.5703125" bestFit="1" customWidth="1"/>
    <col min="6153" max="6153" width="8.42578125" bestFit="1" customWidth="1"/>
    <col min="6154" max="6156" width="3.28515625" bestFit="1" customWidth="1"/>
    <col min="6157" max="6157" width="25.5703125" bestFit="1" customWidth="1"/>
    <col min="6158" max="6158" width="8.140625" bestFit="1" customWidth="1"/>
    <col min="6159" max="6159" width="5.7109375" bestFit="1" customWidth="1"/>
    <col min="6160" max="6162" width="3.42578125" bestFit="1" customWidth="1"/>
    <col min="6163" max="6163" width="3.28515625" bestFit="1" customWidth="1"/>
    <col min="6164" max="6165" width="5.7109375" bestFit="1" customWidth="1"/>
    <col min="6166" max="6166" width="3.42578125" bestFit="1" customWidth="1"/>
    <col min="6167" max="6167" width="7.7109375" customWidth="1"/>
    <col min="6168" max="6168" width="5.42578125" bestFit="1" customWidth="1"/>
    <col min="6169" max="6170" width="4.85546875" bestFit="1" customWidth="1"/>
    <col min="6171" max="6171" width="5.7109375" bestFit="1" customWidth="1"/>
    <col min="6172" max="6172" width="8" customWidth="1"/>
    <col min="6173" max="6173" width="5.28515625" bestFit="1" customWidth="1"/>
    <col min="6174" max="6174" width="5.7109375" bestFit="1" customWidth="1"/>
    <col min="6175" max="6175" width="6.28515625" bestFit="1" customWidth="1"/>
    <col min="6176" max="6176" width="4.28515625" bestFit="1" customWidth="1"/>
    <col min="6177" max="6178" width="4.42578125" bestFit="1" customWidth="1"/>
    <col min="6179" max="6179" width="6.5703125" bestFit="1" customWidth="1"/>
    <col min="6180" max="6180" width="7.5703125" bestFit="1" customWidth="1"/>
    <col min="6181" max="6181" width="6.5703125" bestFit="1" customWidth="1"/>
    <col min="6182" max="6182" width="7.5703125" bestFit="1" customWidth="1"/>
    <col min="6183" max="6183" width="10.85546875" bestFit="1" customWidth="1"/>
    <col min="6184" max="6184" width="7" bestFit="1" customWidth="1"/>
    <col min="6185" max="6185" width="10" bestFit="1" customWidth="1"/>
    <col min="6405" max="6405" width="12.140625" bestFit="1" customWidth="1"/>
    <col min="6406" max="6406" width="27.42578125" bestFit="1" customWidth="1"/>
    <col min="6407" max="6408" width="4.5703125" bestFit="1" customWidth="1"/>
    <col min="6409" max="6409" width="8.42578125" bestFit="1" customWidth="1"/>
    <col min="6410" max="6412" width="3.28515625" bestFit="1" customWidth="1"/>
    <col min="6413" max="6413" width="25.5703125" bestFit="1" customWidth="1"/>
    <col min="6414" max="6414" width="8.140625" bestFit="1" customWidth="1"/>
    <col min="6415" max="6415" width="5.7109375" bestFit="1" customWidth="1"/>
    <col min="6416" max="6418" width="3.42578125" bestFit="1" customWidth="1"/>
    <col min="6419" max="6419" width="3.28515625" bestFit="1" customWidth="1"/>
    <col min="6420" max="6421" width="5.7109375" bestFit="1" customWidth="1"/>
    <col min="6422" max="6422" width="3.42578125" bestFit="1" customWidth="1"/>
    <col min="6423" max="6423" width="7.7109375" customWidth="1"/>
    <col min="6424" max="6424" width="5.42578125" bestFit="1" customWidth="1"/>
    <col min="6425" max="6426" width="4.85546875" bestFit="1" customWidth="1"/>
    <col min="6427" max="6427" width="5.7109375" bestFit="1" customWidth="1"/>
    <col min="6428" max="6428" width="8" customWidth="1"/>
    <col min="6429" max="6429" width="5.28515625" bestFit="1" customWidth="1"/>
    <col min="6430" max="6430" width="5.7109375" bestFit="1" customWidth="1"/>
    <col min="6431" max="6431" width="6.28515625" bestFit="1" customWidth="1"/>
    <col min="6432" max="6432" width="4.28515625" bestFit="1" customWidth="1"/>
    <col min="6433" max="6434" width="4.42578125" bestFit="1" customWidth="1"/>
    <col min="6435" max="6435" width="6.5703125" bestFit="1" customWidth="1"/>
    <col min="6436" max="6436" width="7.5703125" bestFit="1" customWidth="1"/>
    <col min="6437" max="6437" width="6.5703125" bestFit="1" customWidth="1"/>
    <col min="6438" max="6438" width="7.5703125" bestFit="1" customWidth="1"/>
    <col min="6439" max="6439" width="10.85546875" bestFit="1" customWidth="1"/>
    <col min="6440" max="6440" width="7" bestFit="1" customWidth="1"/>
    <col min="6441" max="6441" width="10" bestFit="1" customWidth="1"/>
    <col min="6661" max="6661" width="12.140625" bestFit="1" customWidth="1"/>
    <col min="6662" max="6662" width="27.42578125" bestFit="1" customWidth="1"/>
    <col min="6663" max="6664" width="4.5703125" bestFit="1" customWidth="1"/>
    <col min="6665" max="6665" width="8.42578125" bestFit="1" customWidth="1"/>
    <col min="6666" max="6668" width="3.28515625" bestFit="1" customWidth="1"/>
    <col min="6669" max="6669" width="25.5703125" bestFit="1" customWidth="1"/>
    <col min="6670" max="6670" width="8.140625" bestFit="1" customWidth="1"/>
    <col min="6671" max="6671" width="5.7109375" bestFit="1" customWidth="1"/>
    <col min="6672" max="6674" width="3.42578125" bestFit="1" customWidth="1"/>
    <col min="6675" max="6675" width="3.28515625" bestFit="1" customWidth="1"/>
    <col min="6676" max="6677" width="5.7109375" bestFit="1" customWidth="1"/>
    <col min="6678" max="6678" width="3.42578125" bestFit="1" customWidth="1"/>
    <col min="6679" max="6679" width="7.7109375" customWidth="1"/>
    <col min="6680" max="6680" width="5.42578125" bestFit="1" customWidth="1"/>
    <col min="6681" max="6682" width="4.85546875" bestFit="1" customWidth="1"/>
    <col min="6683" max="6683" width="5.7109375" bestFit="1" customWidth="1"/>
    <col min="6684" max="6684" width="8" customWidth="1"/>
    <col min="6685" max="6685" width="5.28515625" bestFit="1" customWidth="1"/>
    <col min="6686" max="6686" width="5.7109375" bestFit="1" customWidth="1"/>
    <col min="6687" max="6687" width="6.28515625" bestFit="1" customWidth="1"/>
    <col min="6688" max="6688" width="4.28515625" bestFit="1" customWidth="1"/>
    <col min="6689" max="6690" width="4.42578125" bestFit="1" customWidth="1"/>
    <col min="6691" max="6691" width="6.5703125" bestFit="1" customWidth="1"/>
    <col min="6692" max="6692" width="7.5703125" bestFit="1" customWidth="1"/>
    <col min="6693" max="6693" width="6.5703125" bestFit="1" customWidth="1"/>
    <col min="6694" max="6694" width="7.5703125" bestFit="1" customWidth="1"/>
    <col min="6695" max="6695" width="10.85546875" bestFit="1" customWidth="1"/>
    <col min="6696" max="6696" width="7" bestFit="1" customWidth="1"/>
    <col min="6697" max="6697" width="10" bestFit="1" customWidth="1"/>
    <col min="6917" max="6917" width="12.140625" bestFit="1" customWidth="1"/>
    <col min="6918" max="6918" width="27.42578125" bestFit="1" customWidth="1"/>
    <col min="6919" max="6920" width="4.5703125" bestFit="1" customWidth="1"/>
    <col min="6921" max="6921" width="8.42578125" bestFit="1" customWidth="1"/>
    <col min="6922" max="6924" width="3.28515625" bestFit="1" customWidth="1"/>
    <col min="6925" max="6925" width="25.5703125" bestFit="1" customWidth="1"/>
    <col min="6926" max="6926" width="8.140625" bestFit="1" customWidth="1"/>
    <col min="6927" max="6927" width="5.7109375" bestFit="1" customWidth="1"/>
    <col min="6928" max="6930" width="3.42578125" bestFit="1" customWidth="1"/>
    <col min="6931" max="6931" width="3.28515625" bestFit="1" customWidth="1"/>
    <col min="6932" max="6933" width="5.7109375" bestFit="1" customWidth="1"/>
    <col min="6934" max="6934" width="3.42578125" bestFit="1" customWidth="1"/>
    <col min="6935" max="6935" width="7.7109375" customWidth="1"/>
    <col min="6936" max="6936" width="5.42578125" bestFit="1" customWidth="1"/>
    <col min="6937" max="6938" width="4.85546875" bestFit="1" customWidth="1"/>
    <col min="6939" max="6939" width="5.7109375" bestFit="1" customWidth="1"/>
    <col min="6940" max="6940" width="8" customWidth="1"/>
    <col min="6941" max="6941" width="5.28515625" bestFit="1" customWidth="1"/>
    <col min="6942" max="6942" width="5.7109375" bestFit="1" customWidth="1"/>
    <col min="6943" max="6943" width="6.28515625" bestFit="1" customWidth="1"/>
    <col min="6944" max="6944" width="4.28515625" bestFit="1" customWidth="1"/>
    <col min="6945" max="6946" width="4.42578125" bestFit="1" customWidth="1"/>
    <col min="6947" max="6947" width="6.5703125" bestFit="1" customWidth="1"/>
    <col min="6948" max="6948" width="7.5703125" bestFit="1" customWidth="1"/>
    <col min="6949" max="6949" width="6.5703125" bestFit="1" customWidth="1"/>
    <col min="6950" max="6950" width="7.5703125" bestFit="1" customWidth="1"/>
    <col min="6951" max="6951" width="10.85546875" bestFit="1" customWidth="1"/>
    <col min="6952" max="6952" width="7" bestFit="1" customWidth="1"/>
    <col min="6953" max="6953" width="10" bestFit="1" customWidth="1"/>
    <col min="7173" max="7173" width="12.140625" bestFit="1" customWidth="1"/>
    <col min="7174" max="7174" width="27.42578125" bestFit="1" customWidth="1"/>
    <col min="7175" max="7176" width="4.5703125" bestFit="1" customWidth="1"/>
    <col min="7177" max="7177" width="8.42578125" bestFit="1" customWidth="1"/>
    <col min="7178" max="7180" width="3.28515625" bestFit="1" customWidth="1"/>
    <col min="7181" max="7181" width="25.5703125" bestFit="1" customWidth="1"/>
    <col min="7182" max="7182" width="8.140625" bestFit="1" customWidth="1"/>
    <col min="7183" max="7183" width="5.7109375" bestFit="1" customWidth="1"/>
    <col min="7184" max="7186" width="3.42578125" bestFit="1" customWidth="1"/>
    <col min="7187" max="7187" width="3.28515625" bestFit="1" customWidth="1"/>
    <col min="7188" max="7189" width="5.7109375" bestFit="1" customWidth="1"/>
    <col min="7190" max="7190" width="3.42578125" bestFit="1" customWidth="1"/>
    <col min="7191" max="7191" width="7.7109375" customWidth="1"/>
    <col min="7192" max="7192" width="5.42578125" bestFit="1" customWidth="1"/>
    <col min="7193" max="7194" width="4.85546875" bestFit="1" customWidth="1"/>
    <col min="7195" max="7195" width="5.7109375" bestFit="1" customWidth="1"/>
    <col min="7196" max="7196" width="8" customWidth="1"/>
    <col min="7197" max="7197" width="5.28515625" bestFit="1" customWidth="1"/>
    <col min="7198" max="7198" width="5.7109375" bestFit="1" customWidth="1"/>
    <col min="7199" max="7199" width="6.28515625" bestFit="1" customWidth="1"/>
    <col min="7200" max="7200" width="4.28515625" bestFit="1" customWidth="1"/>
    <col min="7201" max="7202" width="4.42578125" bestFit="1" customWidth="1"/>
    <col min="7203" max="7203" width="6.5703125" bestFit="1" customWidth="1"/>
    <col min="7204" max="7204" width="7.5703125" bestFit="1" customWidth="1"/>
    <col min="7205" max="7205" width="6.5703125" bestFit="1" customWidth="1"/>
    <col min="7206" max="7206" width="7.5703125" bestFit="1" customWidth="1"/>
    <col min="7207" max="7207" width="10.85546875" bestFit="1" customWidth="1"/>
    <col min="7208" max="7208" width="7" bestFit="1" customWidth="1"/>
    <col min="7209" max="7209" width="10" bestFit="1" customWidth="1"/>
    <col min="7429" max="7429" width="12.140625" bestFit="1" customWidth="1"/>
    <col min="7430" max="7430" width="27.42578125" bestFit="1" customWidth="1"/>
    <col min="7431" max="7432" width="4.5703125" bestFit="1" customWidth="1"/>
    <col min="7433" max="7433" width="8.42578125" bestFit="1" customWidth="1"/>
    <col min="7434" max="7436" width="3.28515625" bestFit="1" customWidth="1"/>
    <col min="7437" max="7437" width="25.5703125" bestFit="1" customWidth="1"/>
    <col min="7438" max="7438" width="8.140625" bestFit="1" customWidth="1"/>
    <col min="7439" max="7439" width="5.7109375" bestFit="1" customWidth="1"/>
    <col min="7440" max="7442" width="3.42578125" bestFit="1" customWidth="1"/>
    <col min="7443" max="7443" width="3.28515625" bestFit="1" customWidth="1"/>
    <col min="7444" max="7445" width="5.7109375" bestFit="1" customWidth="1"/>
    <col min="7446" max="7446" width="3.42578125" bestFit="1" customWidth="1"/>
    <col min="7447" max="7447" width="7.7109375" customWidth="1"/>
    <col min="7448" max="7448" width="5.42578125" bestFit="1" customWidth="1"/>
    <col min="7449" max="7450" width="4.85546875" bestFit="1" customWidth="1"/>
    <col min="7451" max="7451" width="5.7109375" bestFit="1" customWidth="1"/>
    <col min="7452" max="7452" width="8" customWidth="1"/>
    <col min="7453" max="7453" width="5.28515625" bestFit="1" customWidth="1"/>
    <col min="7454" max="7454" width="5.7109375" bestFit="1" customWidth="1"/>
    <col min="7455" max="7455" width="6.28515625" bestFit="1" customWidth="1"/>
    <col min="7456" max="7456" width="4.28515625" bestFit="1" customWidth="1"/>
    <col min="7457" max="7458" width="4.42578125" bestFit="1" customWidth="1"/>
    <col min="7459" max="7459" width="6.5703125" bestFit="1" customWidth="1"/>
    <col min="7460" max="7460" width="7.5703125" bestFit="1" customWidth="1"/>
    <col min="7461" max="7461" width="6.5703125" bestFit="1" customWidth="1"/>
    <col min="7462" max="7462" width="7.5703125" bestFit="1" customWidth="1"/>
    <col min="7463" max="7463" width="10.85546875" bestFit="1" customWidth="1"/>
    <col min="7464" max="7464" width="7" bestFit="1" customWidth="1"/>
    <col min="7465" max="7465" width="10" bestFit="1" customWidth="1"/>
    <col min="7685" max="7685" width="12.140625" bestFit="1" customWidth="1"/>
    <col min="7686" max="7686" width="27.42578125" bestFit="1" customWidth="1"/>
    <col min="7687" max="7688" width="4.5703125" bestFit="1" customWidth="1"/>
    <col min="7689" max="7689" width="8.42578125" bestFit="1" customWidth="1"/>
    <col min="7690" max="7692" width="3.28515625" bestFit="1" customWidth="1"/>
    <col min="7693" max="7693" width="25.5703125" bestFit="1" customWidth="1"/>
    <col min="7694" max="7694" width="8.140625" bestFit="1" customWidth="1"/>
    <col min="7695" max="7695" width="5.7109375" bestFit="1" customWidth="1"/>
    <col min="7696" max="7698" width="3.42578125" bestFit="1" customWidth="1"/>
    <col min="7699" max="7699" width="3.28515625" bestFit="1" customWidth="1"/>
    <col min="7700" max="7701" width="5.7109375" bestFit="1" customWidth="1"/>
    <col min="7702" max="7702" width="3.42578125" bestFit="1" customWidth="1"/>
    <col min="7703" max="7703" width="7.7109375" customWidth="1"/>
    <col min="7704" max="7704" width="5.42578125" bestFit="1" customWidth="1"/>
    <col min="7705" max="7706" width="4.85546875" bestFit="1" customWidth="1"/>
    <col min="7707" max="7707" width="5.7109375" bestFit="1" customWidth="1"/>
    <col min="7708" max="7708" width="8" customWidth="1"/>
    <col min="7709" max="7709" width="5.28515625" bestFit="1" customWidth="1"/>
    <col min="7710" max="7710" width="5.7109375" bestFit="1" customWidth="1"/>
    <col min="7711" max="7711" width="6.28515625" bestFit="1" customWidth="1"/>
    <col min="7712" max="7712" width="4.28515625" bestFit="1" customWidth="1"/>
    <col min="7713" max="7714" width="4.42578125" bestFit="1" customWidth="1"/>
    <col min="7715" max="7715" width="6.5703125" bestFit="1" customWidth="1"/>
    <col min="7716" max="7716" width="7.5703125" bestFit="1" customWidth="1"/>
    <col min="7717" max="7717" width="6.5703125" bestFit="1" customWidth="1"/>
    <col min="7718" max="7718" width="7.5703125" bestFit="1" customWidth="1"/>
    <col min="7719" max="7719" width="10.85546875" bestFit="1" customWidth="1"/>
    <col min="7720" max="7720" width="7" bestFit="1" customWidth="1"/>
    <col min="7721" max="7721" width="10" bestFit="1" customWidth="1"/>
    <col min="7941" max="7941" width="12.140625" bestFit="1" customWidth="1"/>
    <col min="7942" max="7942" width="27.42578125" bestFit="1" customWidth="1"/>
    <col min="7943" max="7944" width="4.5703125" bestFit="1" customWidth="1"/>
    <col min="7945" max="7945" width="8.42578125" bestFit="1" customWidth="1"/>
    <col min="7946" max="7948" width="3.28515625" bestFit="1" customWidth="1"/>
    <col min="7949" max="7949" width="25.5703125" bestFit="1" customWidth="1"/>
    <col min="7950" max="7950" width="8.140625" bestFit="1" customWidth="1"/>
    <col min="7951" max="7951" width="5.7109375" bestFit="1" customWidth="1"/>
    <col min="7952" max="7954" width="3.42578125" bestFit="1" customWidth="1"/>
    <col min="7955" max="7955" width="3.28515625" bestFit="1" customWidth="1"/>
    <col min="7956" max="7957" width="5.7109375" bestFit="1" customWidth="1"/>
    <col min="7958" max="7958" width="3.42578125" bestFit="1" customWidth="1"/>
    <col min="7959" max="7959" width="7.7109375" customWidth="1"/>
    <col min="7960" max="7960" width="5.42578125" bestFit="1" customWidth="1"/>
    <col min="7961" max="7962" width="4.85546875" bestFit="1" customWidth="1"/>
    <col min="7963" max="7963" width="5.7109375" bestFit="1" customWidth="1"/>
    <col min="7964" max="7964" width="8" customWidth="1"/>
    <col min="7965" max="7965" width="5.28515625" bestFit="1" customWidth="1"/>
    <col min="7966" max="7966" width="5.7109375" bestFit="1" customWidth="1"/>
    <col min="7967" max="7967" width="6.28515625" bestFit="1" customWidth="1"/>
    <col min="7968" max="7968" width="4.28515625" bestFit="1" customWidth="1"/>
    <col min="7969" max="7970" width="4.42578125" bestFit="1" customWidth="1"/>
    <col min="7971" max="7971" width="6.5703125" bestFit="1" customWidth="1"/>
    <col min="7972" max="7972" width="7.5703125" bestFit="1" customWidth="1"/>
    <col min="7973" max="7973" width="6.5703125" bestFit="1" customWidth="1"/>
    <col min="7974" max="7974" width="7.5703125" bestFit="1" customWidth="1"/>
    <col min="7975" max="7975" width="10.85546875" bestFit="1" customWidth="1"/>
    <col min="7976" max="7976" width="7" bestFit="1" customWidth="1"/>
    <col min="7977" max="7977" width="10" bestFit="1" customWidth="1"/>
    <col min="8197" max="8197" width="12.140625" bestFit="1" customWidth="1"/>
    <col min="8198" max="8198" width="27.42578125" bestFit="1" customWidth="1"/>
    <col min="8199" max="8200" width="4.5703125" bestFit="1" customWidth="1"/>
    <col min="8201" max="8201" width="8.42578125" bestFit="1" customWidth="1"/>
    <col min="8202" max="8204" width="3.28515625" bestFit="1" customWidth="1"/>
    <col min="8205" max="8205" width="25.5703125" bestFit="1" customWidth="1"/>
    <col min="8206" max="8206" width="8.140625" bestFit="1" customWidth="1"/>
    <col min="8207" max="8207" width="5.7109375" bestFit="1" customWidth="1"/>
    <col min="8208" max="8210" width="3.42578125" bestFit="1" customWidth="1"/>
    <col min="8211" max="8211" width="3.28515625" bestFit="1" customWidth="1"/>
    <col min="8212" max="8213" width="5.7109375" bestFit="1" customWidth="1"/>
    <col min="8214" max="8214" width="3.42578125" bestFit="1" customWidth="1"/>
    <col min="8215" max="8215" width="7.7109375" customWidth="1"/>
    <col min="8216" max="8216" width="5.42578125" bestFit="1" customWidth="1"/>
    <col min="8217" max="8218" width="4.85546875" bestFit="1" customWidth="1"/>
    <col min="8219" max="8219" width="5.7109375" bestFit="1" customWidth="1"/>
    <col min="8220" max="8220" width="8" customWidth="1"/>
    <col min="8221" max="8221" width="5.28515625" bestFit="1" customWidth="1"/>
    <col min="8222" max="8222" width="5.7109375" bestFit="1" customWidth="1"/>
    <col min="8223" max="8223" width="6.28515625" bestFit="1" customWidth="1"/>
    <col min="8224" max="8224" width="4.28515625" bestFit="1" customWidth="1"/>
    <col min="8225" max="8226" width="4.42578125" bestFit="1" customWidth="1"/>
    <col min="8227" max="8227" width="6.5703125" bestFit="1" customWidth="1"/>
    <col min="8228" max="8228" width="7.5703125" bestFit="1" customWidth="1"/>
    <col min="8229" max="8229" width="6.5703125" bestFit="1" customWidth="1"/>
    <col min="8230" max="8230" width="7.5703125" bestFit="1" customWidth="1"/>
    <col min="8231" max="8231" width="10.85546875" bestFit="1" customWidth="1"/>
    <col min="8232" max="8232" width="7" bestFit="1" customWidth="1"/>
    <col min="8233" max="8233" width="10" bestFit="1" customWidth="1"/>
    <col min="8453" max="8453" width="12.140625" bestFit="1" customWidth="1"/>
    <col min="8454" max="8454" width="27.42578125" bestFit="1" customWidth="1"/>
    <col min="8455" max="8456" width="4.5703125" bestFit="1" customWidth="1"/>
    <col min="8457" max="8457" width="8.42578125" bestFit="1" customWidth="1"/>
    <col min="8458" max="8460" width="3.28515625" bestFit="1" customWidth="1"/>
    <col min="8461" max="8461" width="25.5703125" bestFit="1" customWidth="1"/>
    <col min="8462" max="8462" width="8.140625" bestFit="1" customWidth="1"/>
    <col min="8463" max="8463" width="5.7109375" bestFit="1" customWidth="1"/>
    <col min="8464" max="8466" width="3.42578125" bestFit="1" customWidth="1"/>
    <col min="8467" max="8467" width="3.28515625" bestFit="1" customWidth="1"/>
    <col min="8468" max="8469" width="5.7109375" bestFit="1" customWidth="1"/>
    <col min="8470" max="8470" width="3.42578125" bestFit="1" customWidth="1"/>
    <col min="8471" max="8471" width="7.7109375" customWidth="1"/>
    <col min="8472" max="8472" width="5.42578125" bestFit="1" customWidth="1"/>
    <col min="8473" max="8474" width="4.85546875" bestFit="1" customWidth="1"/>
    <col min="8475" max="8475" width="5.7109375" bestFit="1" customWidth="1"/>
    <col min="8476" max="8476" width="8" customWidth="1"/>
    <col min="8477" max="8477" width="5.28515625" bestFit="1" customWidth="1"/>
    <col min="8478" max="8478" width="5.7109375" bestFit="1" customWidth="1"/>
    <col min="8479" max="8479" width="6.28515625" bestFit="1" customWidth="1"/>
    <col min="8480" max="8480" width="4.28515625" bestFit="1" customWidth="1"/>
    <col min="8481" max="8482" width="4.42578125" bestFit="1" customWidth="1"/>
    <col min="8483" max="8483" width="6.5703125" bestFit="1" customWidth="1"/>
    <col min="8484" max="8484" width="7.5703125" bestFit="1" customWidth="1"/>
    <col min="8485" max="8485" width="6.5703125" bestFit="1" customWidth="1"/>
    <col min="8486" max="8486" width="7.5703125" bestFit="1" customWidth="1"/>
    <col min="8487" max="8487" width="10.85546875" bestFit="1" customWidth="1"/>
    <col min="8488" max="8488" width="7" bestFit="1" customWidth="1"/>
    <col min="8489" max="8489" width="10" bestFit="1" customWidth="1"/>
    <col min="8709" max="8709" width="12.140625" bestFit="1" customWidth="1"/>
    <col min="8710" max="8710" width="27.42578125" bestFit="1" customWidth="1"/>
    <col min="8711" max="8712" width="4.5703125" bestFit="1" customWidth="1"/>
    <col min="8713" max="8713" width="8.42578125" bestFit="1" customWidth="1"/>
    <col min="8714" max="8716" width="3.28515625" bestFit="1" customWidth="1"/>
    <col min="8717" max="8717" width="25.5703125" bestFit="1" customWidth="1"/>
    <col min="8718" max="8718" width="8.140625" bestFit="1" customWidth="1"/>
    <col min="8719" max="8719" width="5.7109375" bestFit="1" customWidth="1"/>
    <col min="8720" max="8722" width="3.42578125" bestFit="1" customWidth="1"/>
    <col min="8723" max="8723" width="3.28515625" bestFit="1" customWidth="1"/>
    <col min="8724" max="8725" width="5.7109375" bestFit="1" customWidth="1"/>
    <col min="8726" max="8726" width="3.42578125" bestFit="1" customWidth="1"/>
    <col min="8727" max="8727" width="7.7109375" customWidth="1"/>
    <col min="8728" max="8728" width="5.42578125" bestFit="1" customWidth="1"/>
    <col min="8729" max="8730" width="4.85546875" bestFit="1" customWidth="1"/>
    <col min="8731" max="8731" width="5.7109375" bestFit="1" customWidth="1"/>
    <col min="8732" max="8732" width="8" customWidth="1"/>
    <col min="8733" max="8733" width="5.28515625" bestFit="1" customWidth="1"/>
    <col min="8734" max="8734" width="5.7109375" bestFit="1" customWidth="1"/>
    <col min="8735" max="8735" width="6.28515625" bestFit="1" customWidth="1"/>
    <col min="8736" max="8736" width="4.28515625" bestFit="1" customWidth="1"/>
    <col min="8737" max="8738" width="4.42578125" bestFit="1" customWidth="1"/>
    <col min="8739" max="8739" width="6.5703125" bestFit="1" customWidth="1"/>
    <col min="8740" max="8740" width="7.5703125" bestFit="1" customWidth="1"/>
    <col min="8741" max="8741" width="6.5703125" bestFit="1" customWidth="1"/>
    <col min="8742" max="8742" width="7.5703125" bestFit="1" customWidth="1"/>
    <col min="8743" max="8743" width="10.85546875" bestFit="1" customWidth="1"/>
    <col min="8744" max="8744" width="7" bestFit="1" customWidth="1"/>
    <col min="8745" max="8745" width="10" bestFit="1" customWidth="1"/>
    <col min="8965" max="8965" width="12.140625" bestFit="1" customWidth="1"/>
    <col min="8966" max="8966" width="27.42578125" bestFit="1" customWidth="1"/>
    <col min="8967" max="8968" width="4.5703125" bestFit="1" customWidth="1"/>
    <col min="8969" max="8969" width="8.42578125" bestFit="1" customWidth="1"/>
    <col min="8970" max="8972" width="3.28515625" bestFit="1" customWidth="1"/>
    <col min="8973" max="8973" width="25.5703125" bestFit="1" customWidth="1"/>
    <col min="8974" max="8974" width="8.140625" bestFit="1" customWidth="1"/>
    <col min="8975" max="8975" width="5.7109375" bestFit="1" customWidth="1"/>
    <col min="8976" max="8978" width="3.42578125" bestFit="1" customWidth="1"/>
    <col min="8979" max="8979" width="3.28515625" bestFit="1" customWidth="1"/>
    <col min="8980" max="8981" width="5.7109375" bestFit="1" customWidth="1"/>
    <col min="8982" max="8982" width="3.42578125" bestFit="1" customWidth="1"/>
    <col min="8983" max="8983" width="7.7109375" customWidth="1"/>
    <col min="8984" max="8984" width="5.42578125" bestFit="1" customWidth="1"/>
    <col min="8985" max="8986" width="4.85546875" bestFit="1" customWidth="1"/>
    <col min="8987" max="8987" width="5.7109375" bestFit="1" customWidth="1"/>
    <col min="8988" max="8988" width="8" customWidth="1"/>
    <col min="8989" max="8989" width="5.28515625" bestFit="1" customWidth="1"/>
    <col min="8990" max="8990" width="5.7109375" bestFit="1" customWidth="1"/>
    <col min="8991" max="8991" width="6.28515625" bestFit="1" customWidth="1"/>
    <col min="8992" max="8992" width="4.28515625" bestFit="1" customWidth="1"/>
    <col min="8993" max="8994" width="4.42578125" bestFit="1" customWidth="1"/>
    <col min="8995" max="8995" width="6.5703125" bestFit="1" customWidth="1"/>
    <col min="8996" max="8996" width="7.5703125" bestFit="1" customWidth="1"/>
    <col min="8997" max="8997" width="6.5703125" bestFit="1" customWidth="1"/>
    <col min="8998" max="8998" width="7.5703125" bestFit="1" customWidth="1"/>
    <col min="8999" max="8999" width="10.85546875" bestFit="1" customWidth="1"/>
    <col min="9000" max="9000" width="7" bestFit="1" customWidth="1"/>
    <col min="9001" max="9001" width="10" bestFit="1" customWidth="1"/>
    <col min="9221" max="9221" width="12.140625" bestFit="1" customWidth="1"/>
    <col min="9222" max="9222" width="27.42578125" bestFit="1" customWidth="1"/>
    <col min="9223" max="9224" width="4.5703125" bestFit="1" customWidth="1"/>
    <col min="9225" max="9225" width="8.42578125" bestFit="1" customWidth="1"/>
    <col min="9226" max="9228" width="3.28515625" bestFit="1" customWidth="1"/>
    <col min="9229" max="9229" width="25.5703125" bestFit="1" customWidth="1"/>
    <col min="9230" max="9230" width="8.140625" bestFit="1" customWidth="1"/>
    <col min="9231" max="9231" width="5.7109375" bestFit="1" customWidth="1"/>
    <col min="9232" max="9234" width="3.42578125" bestFit="1" customWidth="1"/>
    <col min="9235" max="9235" width="3.28515625" bestFit="1" customWidth="1"/>
    <col min="9236" max="9237" width="5.7109375" bestFit="1" customWidth="1"/>
    <col min="9238" max="9238" width="3.42578125" bestFit="1" customWidth="1"/>
    <col min="9239" max="9239" width="7.7109375" customWidth="1"/>
    <col min="9240" max="9240" width="5.42578125" bestFit="1" customWidth="1"/>
    <col min="9241" max="9242" width="4.85546875" bestFit="1" customWidth="1"/>
    <col min="9243" max="9243" width="5.7109375" bestFit="1" customWidth="1"/>
    <col min="9244" max="9244" width="8" customWidth="1"/>
    <col min="9245" max="9245" width="5.28515625" bestFit="1" customWidth="1"/>
    <col min="9246" max="9246" width="5.7109375" bestFit="1" customWidth="1"/>
    <col min="9247" max="9247" width="6.28515625" bestFit="1" customWidth="1"/>
    <col min="9248" max="9248" width="4.28515625" bestFit="1" customWidth="1"/>
    <col min="9249" max="9250" width="4.42578125" bestFit="1" customWidth="1"/>
    <col min="9251" max="9251" width="6.5703125" bestFit="1" customWidth="1"/>
    <col min="9252" max="9252" width="7.5703125" bestFit="1" customWidth="1"/>
    <col min="9253" max="9253" width="6.5703125" bestFit="1" customWidth="1"/>
    <col min="9254" max="9254" width="7.5703125" bestFit="1" customWidth="1"/>
    <col min="9255" max="9255" width="10.85546875" bestFit="1" customWidth="1"/>
    <col min="9256" max="9256" width="7" bestFit="1" customWidth="1"/>
    <col min="9257" max="9257" width="10" bestFit="1" customWidth="1"/>
    <col min="9477" max="9477" width="12.140625" bestFit="1" customWidth="1"/>
    <col min="9478" max="9478" width="27.42578125" bestFit="1" customWidth="1"/>
    <col min="9479" max="9480" width="4.5703125" bestFit="1" customWidth="1"/>
    <col min="9481" max="9481" width="8.42578125" bestFit="1" customWidth="1"/>
    <col min="9482" max="9484" width="3.28515625" bestFit="1" customWidth="1"/>
    <col min="9485" max="9485" width="25.5703125" bestFit="1" customWidth="1"/>
    <col min="9486" max="9486" width="8.140625" bestFit="1" customWidth="1"/>
    <col min="9487" max="9487" width="5.7109375" bestFit="1" customWidth="1"/>
    <col min="9488" max="9490" width="3.42578125" bestFit="1" customWidth="1"/>
    <col min="9491" max="9491" width="3.28515625" bestFit="1" customWidth="1"/>
    <col min="9492" max="9493" width="5.7109375" bestFit="1" customWidth="1"/>
    <col min="9494" max="9494" width="3.42578125" bestFit="1" customWidth="1"/>
    <col min="9495" max="9495" width="7.7109375" customWidth="1"/>
    <col min="9496" max="9496" width="5.42578125" bestFit="1" customWidth="1"/>
    <col min="9497" max="9498" width="4.85546875" bestFit="1" customWidth="1"/>
    <col min="9499" max="9499" width="5.7109375" bestFit="1" customWidth="1"/>
    <col min="9500" max="9500" width="8" customWidth="1"/>
    <col min="9501" max="9501" width="5.28515625" bestFit="1" customWidth="1"/>
    <col min="9502" max="9502" width="5.7109375" bestFit="1" customWidth="1"/>
    <col min="9503" max="9503" width="6.28515625" bestFit="1" customWidth="1"/>
    <col min="9504" max="9504" width="4.28515625" bestFit="1" customWidth="1"/>
    <col min="9505" max="9506" width="4.42578125" bestFit="1" customWidth="1"/>
    <col min="9507" max="9507" width="6.5703125" bestFit="1" customWidth="1"/>
    <col min="9508" max="9508" width="7.5703125" bestFit="1" customWidth="1"/>
    <col min="9509" max="9509" width="6.5703125" bestFit="1" customWidth="1"/>
    <col min="9510" max="9510" width="7.5703125" bestFit="1" customWidth="1"/>
    <col min="9511" max="9511" width="10.85546875" bestFit="1" customWidth="1"/>
    <col min="9512" max="9512" width="7" bestFit="1" customWidth="1"/>
    <col min="9513" max="9513" width="10" bestFit="1" customWidth="1"/>
    <col min="9733" max="9733" width="12.140625" bestFit="1" customWidth="1"/>
    <col min="9734" max="9734" width="27.42578125" bestFit="1" customWidth="1"/>
    <col min="9735" max="9736" width="4.5703125" bestFit="1" customWidth="1"/>
    <col min="9737" max="9737" width="8.42578125" bestFit="1" customWidth="1"/>
    <col min="9738" max="9740" width="3.28515625" bestFit="1" customWidth="1"/>
    <col min="9741" max="9741" width="25.5703125" bestFit="1" customWidth="1"/>
    <col min="9742" max="9742" width="8.140625" bestFit="1" customWidth="1"/>
    <col min="9743" max="9743" width="5.7109375" bestFit="1" customWidth="1"/>
    <col min="9744" max="9746" width="3.42578125" bestFit="1" customWidth="1"/>
    <col min="9747" max="9747" width="3.28515625" bestFit="1" customWidth="1"/>
    <col min="9748" max="9749" width="5.7109375" bestFit="1" customWidth="1"/>
    <col min="9750" max="9750" width="3.42578125" bestFit="1" customWidth="1"/>
    <col min="9751" max="9751" width="7.7109375" customWidth="1"/>
    <col min="9752" max="9752" width="5.42578125" bestFit="1" customWidth="1"/>
    <col min="9753" max="9754" width="4.85546875" bestFit="1" customWidth="1"/>
    <col min="9755" max="9755" width="5.7109375" bestFit="1" customWidth="1"/>
    <col min="9756" max="9756" width="8" customWidth="1"/>
    <col min="9757" max="9757" width="5.28515625" bestFit="1" customWidth="1"/>
    <col min="9758" max="9758" width="5.7109375" bestFit="1" customWidth="1"/>
    <col min="9759" max="9759" width="6.28515625" bestFit="1" customWidth="1"/>
    <col min="9760" max="9760" width="4.28515625" bestFit="1" customWidth="1"/>
    <col min="9761" max="9762" width="4.42578125" bestFit="1" customWidth="1"/>
    <col min="9763" max="9763" width="6.5703125" bestFit="1" customWidth="1"/>
    <col min="9764" max="9764" width="7.5703125" bestFit="1" customWidth="1"/>
    <col min="9765" max="9765" width="6.5703125" bestFit="1" customWidth="1"/>
    <col min="9766" max="9766" width="7.5703125" bestFit="1" customWidth="1"/>
    <col min="9767" max="9767" width="10.85546875" bestFit="1" customWidth="1"/>
    <col min="9768" max="9768" width="7" bestFit="1" customWidth="1"/>
    <col min="9769" max="9769" width="10" bestFit="1" customWidth="1"/>
    <col min="9989" max="9989" width="12.140625" bestFit="1" customWidth="1"/>
    <col min="9990" max="9990" width="27.42578125" bestFit="1" customWidth="1"/>
    <col min="9991" max="9992" width="4.5703125" bestFit="1" customWidth="1"/>
    <col min="9993" max="9993" width="8.42578125" bestFit="1" customWidth="1"/>
    <col min="9994" max="9996" width="3.28515625" bestFit="1" customWidth="1"/>
    <col min="9997" max="9997" width="25.5703125" bestFit="1" customWidth="1"/>
    <col min="9998" max="9998" width="8.140625" bestFit="1" customWidth="1"/>
    <col min="9999" max="9999" width="5.7109375" bestFit="1" customWidth="1"/>
    <col min="10000" max="10002" width="3.42578125" bestFit="1" customWidth="1"/>
    <col min="10003" max="10003" width="3.28515625" bestFit="1" customWidth="1"/>
    <col min="10004" max="10005" width="5.7109375" bestFit="1" customWidth="1"/>
    <col min="10006" max="10006" width="3.42578125" bestFit="1" customWidth="1"/>
    <col min="10007" max="10007" width="7.7109375" customWidth="1"/>
    <col min="10008" max="10008" width="5.42578125" bestFit="1" customWidth="1"/>
    <col min="10009" max="10010" width="4.85546875" bestFit="1" customWidth="1"/>
    <col min="10011" max="10011" width="5.7109375" bestFit="1" customWidth="1"/>
    <col min="10012" max="10012" width="8" customWidth="1"/>
    <col min="10013" max="10013" width="5.28515625" bestFit="1" customWidth="1"/>
    <col min="10014" max="10014" width="5.7109375" bestFit="1" customWidth="1"/>
    <col min="10015" max="10015" width="6.28515625" bestFit="1" customWidth="1"/>
    <col min="10016" max="10016" width="4.28515625" bestFit="1" customWidth="1"/>
    <col min="10017" max="10018" width="4.42578125" bestFit="1" customWidth="1"/>
    <col min="10019" max="10019" width="6.5703125" bestFit="1" customWidth="1"/>
    <col min="10020" max="10020" width="7.5703125" bestFit="1" customWidth="1"/>
    <col min="10021" max="10021" width="6.5703125" bestFit="1" customWidth="1"/>
    <col min="10022" max="10022" width="7.5703125" bestFit="1" customWidth="1"/>
    <col min="10023" max="10023" width="10.85546875" bestFit="1" customWidth="1"/>
    <col min="10024" max="10024" width="7" bestFit="1" customWidth="1"/>
    <col min="10025" max="10025" width="10" bestFit="1" customWidth="1"/>
    <col min="10245" max="10245" width="12.140625" bestFit="1" customWidth="1"/>
    <col min="10246" max="10246" width="27.42578125" bestFit="1" customWidth="1"/>
    <col min="10247" max="10248" width="4.5703125" bestFit="1" customWidth="1"/>
    <col min="10249" max="10249" width="8.42578125" bestFit="1" customWidth="1"/>
    <col min="10250" max="10252" width="3.28515625" bestFit="1" customWidth="1"/>
    <col min="10253" max="10253" width="25.5703125" bestFit="1" customWidth="1"/>
    <col min="10254" max="10254" width="8.140625" bestFit="1" customWidth="1"/>
    <col min="10255" max="10255" width="5.7109375" bestFit="1" customWidth="1"/>
    <col min="10256" max="10258" width="3.42578125" bestFit="1" customWidth="1"/>
    <col min="10259" max="10259" width="3.28515625" bestFit="1" customWidth="1"/>
    <col min="10260" max="10261" width="5.7109375" bestFit="1" customWidth="1"/>
    <col min="10262" max="10262" width="3.42578125" bestFit="1" customWidth="1"/>
    <col min="10263" max="10263" width="7.7109375" customWidth="1"/>
    <col min="10264" max="10264" width="5.42578125" bestFit="1" customWidth="1"/>
    <col min="10265" max="10266" width="4.85546875" bestFit="1" customWidth="1"/>
    <col min="10267" max="10267" width="5.7109375" bestFit="1" customWidth="1"/>
    <col min="10268" max="10268" width="8" customWidth="1"/>
    <col min="10269" max="10269" width="5.28515625" bestFit="1" customWidth="1"/>
    <col min="10270" max="10270" width="5.7109375" bestFit="1" customWidth="1"/>
    <col min="10271" max="10271" width="6.28515625" bestFit="1" customWidth="1"/>
    <col min="10272" max="10272" width="4.28515625" bestFit="1" customWidth="1"/>
    <col min="10273" max="10274" width="4.42578125" bestFit="1" customWidth="1"/>
    <col min="10275" max="10275" width="6.5703125" bestFit="1" customWidth="1"/>
    <col min="10276" max="10276" width="7.5703125" bestFit="1" customWidth="1"/>
    <col min="10277" max="10277" width="6.5703125" bestFit="1" customWidth="1"/>
    <col min="10278" max="10278" width="7.5703125" bestFit="1" customWidth="1"/>
    <col min="10279" max="10279" width="10.85546875" bestFit="1" customWidth="1"/>
    <col min="10280" max="10280" width="7" bestFit="1" customWidth="1"/>
    <col min="10281" max="10281" width="10" bestFit="1" customWidth="1"/>
    <col min="10501" max="10501" width="12.140625" bestFit="1" customWidth="1"/>
    <col min="10502" max="10502" width="27.42578125" bestFit="1" customWidth="1"/>
    <col min="10503" max="10504" width="4.5703125" bestFit="1" customWidth="1"/>
    <col min="10505" max="10505" width="8.42578125" bestFit="1" customWidth="1"/>
    <col min="10506" max="10508" width="3.28515625" bestFit="1" customWidth="1"/>
    <col min="10509" max="10509" width="25.5703125" bestFit="1" customWidth="1"/>
    <col min="10510" max="10510" width="8.140625" bestFit="1" customWidth="1"/>
    <col min="10511" max="10511" width="5.7109375" bestFit="1" customWidth="1"/>
    <col min="10512" max="10514" width="3.42578125" bestFit="1" customWidth="1"/>
    <col min="10515" max="10515" width="3.28515625" bestFit="1" customWidth="1"/>
    <col min="10516" max="10517" width="5.7109375" bestFit="1" customWidth="1"/>
    <col min="10518" max="10518" width="3.42578125" bestFit="1" customWidth="1"/>
    <col min="10519" max="10519" width="7.7109375" customWidth="1"/>
    <col min="10520" max="10520" width="5.42578125" bestFit="1" customWidth="1"/>
    <col min="10521" max="10522" width="4.85546875" bestFit="1" customWidth="1"/>
    <col min="10523" max="10523" width="5.7109375" bestFit="1" customWidth="1"/>
    <col min="10524" max="10524" width="8" customWidth="1"/>
    <col min="10525" max="10525" width="5.28515625" bestFit="1" customWidth="1"/>
    <col min="10526" max="10526" width="5.7109375" bestFit="1" customWidth="1"/>
    <col min="10527" max="10527" width="6.28515625" bestFit="1" customWidth="1"/>
    <col min="10528" max="10528" width="4.28515625" bestFit="1" customWidth="1"/>
    <col min="10529" max="10530" width="4.42578125" bestFit="1" customWidth="1"/>
    <col min="10531" max="10531" width="6.5703125" bestFit="1" customWidth="1"/>
    <col min="10532" max="10532" width="7.5703125" bestFit="1" customWidth="1"/>
    <col min="10533" max="10533" width="6.5703125" bestFit="1" customWidth="1"/>
    <col min="10534" max="10534" width="7.5703125" bestFit="1" customWidth="1"/>
    <col min="10535" max="10535" width="10.85546875" bestFit="1" customWidth="1"/>
    <col min="10536" max="10536" width="7" bestFit="1" customWidth="1"/>
    <col min="10537" max="10537" width="10" bestFit="1" customWidth="1"/>
    <col min="10757" max="10757" width="12.140625" bestFit="1" customWidth="1"/>
    <col min="10758" max="10758" width="27.42578125" bestFit="1" customWidth="1"/>
    <col min="10759" max="10760" width="4.5703125" bestFit="1" customWidth="1"/>
    <col min="10761" max="10761" width="8.42578125" bestFit="1" customWidth="1"/>
    <col min="10762" max="10764" width="3.28515625" bestFit="1" customWidth="1"/>
    <col min="10765" max="10765" width="25.5703125" bestFit="1" customWidth="1"/>
    <col min="10766" max="10766" width="8.140625" bestFit="1" customWidth="1"/>
    <col min="10767" max="10767" width="5.7109375" bestFit="1" customWidth="1"/>
    <col min="10768" max="10770" width="3.42578125" bestFit="1" customWidth="1"/>
    <col min="10771" max="10771" width="3.28515625" bestFit="1" customWidth="1"/>
    <col min="10772" max="10773" width="5.7109375" bestFit="1" customWidth="1"/>
    <col min="10774" max="10774" width="3.42578125" bestFit="1" customWidth="1"/>
    <col min="10775" max="10775" width="7.7109375" customWidth="1"/>
    <col min="10776" max="10776" width="5.42578125" bestFit="1" customWidth="1"/>
    <col min="10777" max="10778" width="4.85546875" bestFit="1" customWidth="1"/>
    <col min="10779" max="10779" width="5.7109375" bestFit="1" customWidth="1"/>
    <col min="10780" max="10780" width="8" customWidth="1"/>
    <col min="10781" max="10781" width="5.28515625" bestFit="1" customWidth="1"/>
    <col min="10782" max="10782" width="5.7109375" bestFit="1" customWidth="1"/>
    <col min="10783" max="10783" width="6.28515625" bestFit="1" customWidth="1"/>
    <col min="10784" max="10784" width="4.28515625" bestFit="1" customWidth="1"/>
    <col min="10785" max="10786" width="4.42578125" bestFit="1" customWidth="1"/>
    <col min="10787" max="10787" width="6.5703125" bestFit="1" customWidth="1"/>
    <col min="10788" max="10788" width="7.5703125" bestFit="1" customWidth="1"/>
    <col min="10789" max="10789" width="6.5703125" bestFit="1" customWidth="1"/>
    <col min="10790" max="10790" width="7.5703125" bestFit="1" customWidth="1"/>
    <col min="10791" max="10791" width="10.85546875" bestFit="1" customWidth="1"/>
    <col min="10792" max="10792" width="7" bestFit="1" customWidth="1"/>
    <col min="10793" max="10793" width="10" bestFit="1" customWidth="1"/>
    <col min="11013" max="11013" width="12.140625" bestFit="1" customWidth="1"/>
    <col min="11014" max="11014" width="27.42578125" bestFit="1" customWidth="1"/>
    <col min="11015" max="11016" width="4.5703125" bestFit="1" customWidth="1"/>
    <col min="11017" max="11017" width="8.42578125" bestFit="1" customWidth="1"/>
    <col min="11018" max="11020" width="3.28515625" bestFit="1" customWidth="1"/>
    <col min="11021" max="11021" width="25.5703125" bestFit="1" customWidth="1"/>
    <col min="11022" max="11022" width="8.140625" bestFit="1" customWidth="1"/>
    <col min="11023" max="11023" width="5.7109375" bestFit="1" customWidth="1"/>
    <col min="11024" max="11026" width="3.42578125" bestFit="1" customWidth="1"/>
    <col min="11027" max="11027" width="3.28515625" bestFit="1" customWidth="1"/>
    <col min="11028" max="11029" width="5.7109375" bestFit="1" customWidth="1"/>
    <col min="11030" max="11030" width="3.42578125" bestFit="1" customWidth="1"/>
    <col min="11031" max="11031" width="7.7109375" customWidth="1"/>
    <col min="11032" max="11032" width="5.42578125" bestFit="1" customWidth="1"/>
    <col min="11033" max="11034" width="4.85546875" bestFit="1" customWidth="1"/>
    <col min="11035" max="11035" width="5.7109375" bestFit="1" customWidth="1"/>
    <col min="11036" max="11036" width="8" customWidth="1"/>
    <col min="11037" max="11037" width="5.28515625" bestFit="1" customWidth="1"/>
    <col min="11038" max="11038" width="5.7109375" bestFit="1" customWidth="1"/>
    <col min="11039" max="11039" width="6.28515625" bestFit="1" customWidth="1"/>
    <col min="11040" max="11040" width="4.28515625" bestFit="1" customWidth="1"/>
    <col min="11041" max="11042" width="4.42578125" bestFit="1" customWidth="1"/>
    <col min="11043" max="11043" width="6.5703125" bestFit="1" customWidth="1"/>
    <col min="11044" max="11044" width="7.5703125" bestFit="1" customWidth="1"/>
    <col min="11045" max="11045" width="6.5703125" bestFit="1" customWidth="1"/>
    <col min="11046" max="11046" width="7.5703125" bestFit="1" customWidth="1"/>
    <col min="11047" max="11047" width="10.85546875" bestFit="1" customWidth="1"/>
    <col min="11048" max="11048" width="7" bestFit="1" customWidth="1"/>
    <col min="11049" max="11049" width="10" bestFit="1" customWidth="1"/>
    <col min="11269" max="11269" width="12.140625" bestFit="1" customWidth="1"/>
    <col min="11270" max="11270" width="27.42578125" bestFit="1" customWidth="1"/>
    <col min="11271" max="11272" width="4.5703125" bestFit="1" customWidth="1"/>
    <col min="11273" max="11273" width="8.42578125" bestFit="1" customWidth="1"/>
    <col min="11274" max="11276" width="3.28515625" bestFit="1" customWidth="1"/>
    <col min="11277" max="11277" width="25.5703125" bestFit="1" customWidth="1"/>
    <col min="11278" max="11278" width="8.140625" bestFit="1" customWidth="1"/>
    <col min="11279" max="11279" width="5.7109375" bestFit="1" customWidth="1"/>
    <col min="11280" max="11282" width="3.42578125" bestFit="1" customWidth="1"/>
    <col min="11283" max="11283" width="3.28515625" bestFit="1" customWidth="1"/>
    <col min="11284" max="11285" width="5.7109375" bestFit="1" customWidth="1"/>
    <col min="11286" max="11286" width="3.42578125" bestFit="1" customWidth="1"/>
    <col min="11287" max="11287" width="7.7109375" customWidth="1"/>
    <col min="11288" max="11288" width="5.42578125" bestFit="1" customWidth="1"/>
    <col min="11289" max="11290" width="4.85546875" bestFit="1" customWidth="1"/>
    <col min="11291" max="11291" width="5.7109375" bestFit="1" customWidth="1"/>
    <col min="11292" max="11292" width="8" customWidth="1"/>
    <col min="11293" max="11293" width="5.28515625" bestFit="1" customWidth="1"/>
    <col min="11294" max="11294" width="5.7109375" bestFit="1" customWidth="1"/>
    <col min="11295" max="11295" width="6.28515625" bestFit="1" customWidth="1"/>
    <col min="11296" max="11296" width="4.28515625" bestFit="1" customWidth="1"/>
    <col min="11297" max="11298" width="4.42578125" bestFit="1" customWidth="1"/>
    <col min="11299" max="11299" width="6.5703125" bestFit="1" customWidth="1"/>
    <col min="11300" max="11300" width="7.5703125" bestFit="1" customWidth="1"/>
    <col min="11301" max="11301" width="6.5703125" bestFit="1" customWidth="1"/>
    <col min="11302" max="11302" width="7.5703125" bestFit="1" customWidth="1"/>
    <col min="11303" max="11303" width="10.85546875" bestFit="1" customWidth="1"/>
    <col min="11304" max="11304" width="7" bestFit="1" customWidth="1"/>
    <col min="11305" max="11305" width="10" bestFit="1" customWidth="1"/>
    <col min="11525" max="11525" width="12.140625" bestFit="1" customWidth="1"/>
    <col min="11526" max="11526" width="27.42578125" bestFit="1" customWidth="1"/>
    <col min="11527" max="11528" width="4.5703125" bestFit="1" customWidth="1"/>
    <col min="11529" max="11529" width="8.42578125" bestFit="1" customWidth="1"/>
    <col min="11530" max="11532" width="3.28515625" bestFit="1" customWidth="1"/>
    <col min="11533" max="11533" width="25.5703125" bestFit="1" customWidth="1"/>
    <col min="11534" max="11534" width="8.140625" bestFit="1" customWidth="1"/>
    <col min="11535" max="11535" width="5.7109375" bestFit="1" customWidth="1"/>
    <col min="11536" max="11538" width="3.42578125" bestFit="1" customWidth="1"/>
    <col min="11539" max="11539" width="3.28515625" bestFit="1" customWidth="1"/>
    <col min="11540" max="11541" width="5.7109375" bestFit="1" customWidth="1"/>
    <col min="11542" max="11542" width="3.42578125" bestFit="1" customWidth="1"/>
    <col min="11543" max="11543" width="7.7109375" customWidth="1"/>
    <col min="11544" max="11544" width="5.42578125" bestFit="1" customWidth="1"/>
    <col min="11545" max="11546" width="4.85546875" bestFit="1" customWidth="1"/>
    <col min="11547" max="11547" width="5.7109375" bestFit="1" customWidth="1"/>
    <col min="11548" max="11548" width="8" customWidth="1"/>
    <col min="11549" max="11549" width="5.28515625" bestFit="1" customWidth="1"/>
    <col min="11550" max="11550" width="5.7109375" bestFit="1" customWidth="1"/>
    <col min="11551" max="11551" width="6.28515625" bestFit="1" customWidth="1"/>
    <col min="11552" max="11552" width="4.28515625" bestFit="1" customWidth="1"/>
    <col min="11553" max="11554" width="4.42578125" bestFit="1" customWidth="1"/>
    <col min="11555" max="11555" width="6.5703125" bestFit="1" customWidth="1"/>
    <col min="11556" max="11556" width="7.5703125" bestFit="1" customWidth="1"/>
    <col min="11557" max="11557" width="6.5703125" bestFit="1" customWidth="1"/>
    <col min="11558" max="11558" width="7.5703125" bestFit="1" customWidth="1"/>
    <col min="11559" max="11559" width="10.85546875" bestFit="1" customWidth="1"/>
    <col min="11560" max="11560" width="7" bestFit="1" customWidth="1"/>
    <col min="11561" max="11561" width="10" bestFit="1" customWidth="1"/>
    <col min="11781" max="11781" width="12.140625" bestFit="1" customWidth="1"/>
    <col min="11782" max="11782" width="27.42578125" bestFit="1" customWidth="1"/>
    <col min="11783" max="11784" width="4.5703125" bestFit="1" customWidth="1"/>
    <col min="11785" max="11785" width="8.42578125" bestFit="1" customWidth="1"/>
    <col min="11786" max="11788" width="3.28515625" bestFit="1" customWidth="1"/>
    <col min="11789" max="11789" width="25.5703125" bestFit="1" customWidth="1"/>
    <col min="11790" max="11790" width="8.140625" bestFit="1" customWidth="1"/>
    <col min="11791" max="11791" width="5.7109375" bestFit="1" customWidth="1"/>
    <col min="11792" max="11794" width="3.42578125" bestFit="1" customWidth="1"/>
    <col min="11795" max="11795" width="3.28515625" bestFit="1" customWidth="1"/>
    <col min="11796" max="11797" width="5.7109375" bestFit="1" customWidth="1"/>
    <col min="11798" max="11798" width="3.42578125" bestFit="1" customWidth="1"/>
    <col min="11799" max="11799" width="7.7109375" customWidth="1"/>
    <col min="11800" max="11800" width="5.42578125" bestFit="1" customWidth="1"/>
    <col min="11801" max="11802" width="4.85546875" bestFit="1" customWidth="1"/>
    <col min="11803" max="11803" width="5.7109375" bestFit="1" customWidth="1"/>
    <col min="11804" max="11804" width="8" customWidth="1"/>
    <col min="11805" max="11805" width="5.28515625" bestFit="1" customWidth="1"/>
    <col min="11806" max="11806" width="5.7109375" bestFit="1" customWidth="1"/>
    <col min="11807" max="11807" width="6.28515625" bestFit="1" customWidth="1"/>
    <col min="11808" max="11808" width="4.28515625" bestFit="1" customWidth="1"/>
    <col min="11809" max="11810" width="4.42578125" bestFit="1" customWidth="1"/>
    <col min="11811" max="11811" width="6.5703125" bestFit="1" customWidth="1"/>
    <col min="11812" max="11812" width="7.5703125" bestFit="1" customWidth="1"/>
    <col min="11813" max="11813" width="6.5703125" bestFit="1" customWidth="1"/>
    <col min="11814" max="11814" width="7.5703125" bestFit="1" customWidth="1"/>
    <col min="11815" max="11815" width="10.85546875" bestFit="1" customWidth="1"/>
    <col min="11816" max="11816" width="7" bestFit="1" customWidth="1"/>
    <col min="11817" max="11817" width="10" bestFit="1" customWidth="1"/>
    <col min="12037" max="12037" width="12.140625" bestFit="1" customWidth="1"/>
    <col min="12038" max="12038" width="27.42578125" bestFit="1" customWidth="1"/>
    <col min="12039" max="12040" width="4.5703125" bestFit="1" customWidth="1"/>
    <col min="12041" max="12041" width="8.42578125" bestFit="1" customWidth="1"/>
    <col min="12042" max="12044" width="3.28515625" bestFit="1" customWidth="1"/>
    <col min="12045" max="12045" width="25.5703125" bestFit="1" customWidth="1"/>
    <col min="12046" max="12046" width="8.140625" bestFit="1" customWidth="1"/>
    <col min="12047" max="12047" width="5.7109375" bestFit="1" customWidth="1"/>
    <col min="12048" max="12050" width="3.42578125" bestFit="1" customWidth="1"/>
    <col min="12051" max="12051" width="3.28515625" bestFit="1" customWidth="1"/>
    <col min="12052" max="12053" width="5.7109375" bestFit="1" customWidth="1"/>
    <col min="12054" max="12054" width="3.42578125" bestFit="1" customWidth="1"/>
    <col min="12055" max="12055" width="7.7109375" customWidth="1"/>
    <col min="12056" max="12056" width="5.42578125" bestFit="1" customWidth="1"/>
    <col min="12057" max="12058" width="4.85546875" bestFit="1" customWidth="1"/>
    <col min="12059" max="12059" width="5.7109375" bestFit="1" customWidth="1"/>
    <col min="12060" max="12060" width="8" customWidth="1"/>
    <col min="12061" max="12061" width="5.28515625" bestFit="1" customWidth="1"/>
    <col min="12062" max="12062" width="5.7109375" bestFit="1" customWidth="1"/>
    <col min="12063" max="12063" width="6.28515625" bestFit="1" customWidth="1"/>
    <col min="12064" max="12064" width="4.28515625" bestFit="1" customWidth="1"/>
    <col min="12065" max="12066" width="4.42578125" bestFit="1" customWidth="1"/>
    <col min="12067" max="12067" width="6.5703125" bestFit="1" customWidth="1"/>
    <col min="12068" max="12068" width="7.5703125" bestFit="1" customWidth="1"/>
    <col min="12069" max="12069" width="6.5703125" bestFit="1" customWidth="1"/>
    <col min="12070" max="12070" width="7.5703125" bestFit="1" customWidth="1"/>
    <col min="12071" max="12071" width="10.85546875" bestFit="1" customWidth="1"/>
    <col min="12072" max="12072" width="7" bestFit="1" customWidth="1"/>
    <col min="12073" max="12073" width="10" bestFit="1" customWidth="1"/>
    <col min="12293" max="12293" width="12.140625" bestFit="1" customWidth="1"/>
    <col min="12294" max="12294" width="27.42578125" bestFit="1" customWidth="1"/>
    <col min="12295" max="12296" width="4.5703125" bestFit="1" customWidth="1"/>
    <col min="12297" max="12297" width="8.42578125" bestFit="1" customWidth="1"/>
    <col min="12298" max="12300" width="3.28515625" bestFit="1" customWidth="1"/>
    <col min="12301" max="12301" width="25.5703125" bestFit="1" customWidth="1"/>
    <col min="12302" max="12302" width="8.140625" bestFit="1" customWidth="1"/>
    <col min="12303" max="12303" width="5.7109375" bestFit="1" customWidth="1"/>
    <col min="12304" max="12306" width="3.42578125" bestFit="1" customWidth="1"/>
    <col min="12307" max="12307" width="3.28515625" bestFit="1" customWidth="1"/>
    <col min="12308" max="12309" width="5.7109375" bestFit="1" customWidth="1"/>
    <col min="12310" max="12310" width="3.42578125" bestFit="1" customWidth="1"/>
    <col min="12311" max="12311" width="7.7109375" customWidth="1"/>
    <col min="12312" max="12312" width="5.42578125" bestFit="1" customWidth="1"/>
    <col min="12313" max="12314" width="4.85546875" bestFit="1" customWidth="1"/>
    <col min="12315" max="12315" width="5.7109375" bestFit="1" customWidth="1"/>
    <col min="12316" max="12316" width="8" customWidth="1"/>
    <col min="12317" max="12317" width="5.28515625" bestFit="1" customWidth="1"/>
    <col min="12318" max="12318" width="5.7109375" bestFit="1" customWidth="1"/>
    <col min="12319" max="12319" width="6.28515625" bestFit="1" customWidth="1"/>
    <col min="12320" max="12320" width="4.28515625" bestFit="1" customWidth="1"/>
    <col min="12321" max="12322" width="4.42578125" bestFit="1" customWidth="1"/>
    <col min="12323" max="12323" width="6.5703125" bestFit="1" customWidth="1"/>
    <col min="12324" max="12324" width="7.5703125" bestFit="1" customWidth="1"/>
    <col min="12325" max="12325" width="6.5703125" bestFit="1" customWidth="1"/>
    <col min="12326" max="12326" width="7.5703125" bestFit="1" customWidth="1"/>
    <col min="12327" max="12327" width="10.85546875" bestFit="1" customWidth="1"/>
    <col min="12328" max="12328" width="7" bestFit="1" customWidth="1"/>
    <col min="12329" max="12329" width="10" bestFit="1" customWidth="1"/>
    <col min="12549" max="12549" width="12.140625" bestFit="1" customWidth="1"/>
    <col min="12550" max="12550" width="27.42578125" bestFit="1" customWidth="1"/>
    <col min="12551" max="12552" width="4.5703125" bestFit="1" customWidth="1"/>
    <col min="12553" max="12553" width="8.42578125" bestFit="1" customWidth="1"/>
    <col min="12554" max="12556" width="3.28515625" bestFit="1" customWidth="1"/>
    <col min="12557" max="12557" width="25.5703125" bestFit="1" customWidth="1"/>
    <col min="12558" max="12558" width="8.140625" bestFit="1" customWidth="1"/>
    <col min="12559" max="12559" width="5.7109375" bestFit="1" customWidth="1"/>
    <col min="12560" max="12562" width="3.42578125" bestFit="1" customWidth="1"/>
    <col min="12563" max="12563" width="3.28515625" bestFit="1" customWidth="1"/>
    <col min="12564" max="12565" width="5.7109375" bestFit="1" customWidth="1"/>
    <col min="12566" max="12566" width="3.42578125" bestFit="1" customWidth="1"/>
    <col min="12567" max="12567" width="7.7109375" customWidth="1"/>
    <col min="12568" max="12568" width="5.42578125" bestFit="1" customWidth="1"/>
    <col min="12569" max="12570" width="4.85546875" bestFit="1" customWidth="1"/>
    <col min="12571" max="12571" width="5.7109375" bestFit="1" customWidth="1"/>
    <col min="12572" max="12572" width="8" customWidth="1"/>
    <col min="12573" max="12573" width="5.28515625" bestFit="1" customWidth="1"/>
    <col min="12574" max="12574" width="5.7109375" bestFit="1" customWidth="1"/>
    <col min="12575" max="12575" width="6.28515625" bestFit="1" customWidth="1"/>
    <col min="12576" max="12576" width="4.28515625" bestFit="1" customWidth="1"/>
    <col min="12577" max="12578" width="4.42578125" bestFit="1" customWidth="1"/>
    <col min="12579" max="12579" width="6.5703125" bestFit="1" customWidth="1"/>
    <col min="12580" max="12580" width="7.5703125" bestFit="1" customWidth="1"/>
    <col min="12581" max="12581" width="6.5703125" bestFit="1" customWidth="1"/>
    <col min="12582" max="12582" width="7.5703125" bestFit="1" customWidth="1"/>
    <col min="12583" max="12583" width="10.85546875" bestFit="1" customWidth="1"/>
    <col min="12584" max="12584" width="7" bestFit="1" customWidth="1"/>
    <col min="12585" max="12585" width="10" bestFit="1" customWidth="1"/>
    <col min="12805" max="12805" width="12.140625" bestFit="1" customWidth="1"/>
    <col min="12806" max="12806" width="27.42578125" bestFit="1" customWidth="1"/>
    <col min="12807" max="12808" width="4.5703125" bestFit="1" customWidth="1"/>
    <col min="12809" max="12809" width="8.42578125" bestFit="1" customWidth="1"/>
    <col min="12810" max="12812" width="3.28515625" bestFit="1" customWidth="1"/>
    <col min="12813" max="12813" width="25.5703125" bestFit="1" customWidth="1"/>
    <col min="12814" max="12814" width="8.140625" bestFit="1" customWidth="1"/>
    <col min="12815" max="12815" width="5.7109375" bestFit="1" customWidth="1"/>
    <col min="12816" max="12818" width="3.42578125" bestFit="1" customWidth="1"/>
    <col min="12819" max="12819" width="3.28515625" bestFit="1" customWidth="1"/>
    <col min="12820" max="12821" width="5.7109375" bestFit="1" customWidth="1"/>
    <col min="12822" max="12822" width="3.42578125" bestFit="1" customWidth="1"/>
    <col min="12823" max="12823" width="7.7109375" customWidth="1"/>
    <col min="12824" max="12824" width="5.42578125" bestFit="1" customWidth="1"/>
    <col min="12825" max="12826" width="4.85546875" bestFit="1" customWidth="1"/>
    <col min="12827" max="12827" width="5.7109375" bestFit="1" customWidth="1"/>
    <col min="12828" max="12828" width="8" customWidth="1"/>
    <col min="12829" max="12829" width="5.28515625" bestFit="1" customWidth="1"/>
    <col min="12830" max="12830" width="5.7109375" bestFit="1" customWidth="1"/>
    <col min="12831" max="12831" width="6.28515625" bestFit="1" customWidth="1"/>
    <col min="12832" max="12832" width="4.28515625" bestFit="1" customWidth="1"/>
    <col min="12833" max="12834" width="4.42578125" bestFit="1" customWidth="1"/>
    <col min="12835" max="12835" width="6.5703125" bestFit="1" customWidth="1"/>
    <col min="12836" max="12836" width="7.5703125" bestFit="1" customWidth="1"/>
    <col min="12837" max="12837" width="6.5703125" bestFit="1" customWidth="1"/>
    <col min="12838" max="12838" width="7.5703125" bestFit="1" customWidth="1"/>
    <col min="12839" max="12839" width="10.85546875" bestFit="1" customWidth="1"/>
    <col min="12840" max="12840" width="7" bestFit="1" customWidth="1"/>
    <col min="12841" max="12841" width="10" bestFit="1" customWidth="1"/>
    <col min="13061" max="13061" width="12.140625" bestFit="1" customWidth="1"/>
    <col min="13062" max="13062" width="27.42578125" bestFit="1" customWidth="1"/>
    <col min="13063" max="13064" width="4.5703125" bestFit="1" customWidth="1"/>
    <col min="13065" max="13065" width="8.42578125" bestFit="1" customWidth="1"/>
    <col min="13066" max="13068" width="3.28515625" bestFit="1" customWidth="1"/>
    <col min="13069" max="13069" width="25.5703125" bestFit="1" customWidth="1"/>
    <col min="13070" max="13070" width="8.140625" bestFit="1" customWidth="1"/>
    <col min="13071" max="13071" width="5.7109375" bestFit="1" customWidth="1"/>
    <col min="13072" max="13074" width="3.42578125" bestFit="1" customWidth="1"/>
    <col min="13075" max="13075" width="3.28515625" bestFit="1" customWidth="1"/>
    <col min="13076" max="13077" width="5.7109375" bestFit="1" customWidth="1"/>
    <col min="13078" max="13078" width="3.42578125" bestFit="1" customWidth="1"/>
    <col min="13079" max="13079" width="7.7109375" customWidth="1"/>
    <col min="13080" max="13080" width="5.42578125" bestFit="1" customWidth="1"/>
    <col min="13081" max="13082" width="4.85546875" bestFit="1" customWidth="1"/>
    <col min="13083" max="13083" width="5.7109375" bestFit="1" customWidth="1"/>
    <col min="13084" max="13084" width="8" customWidth="1"/>
    <col min="13085" max="13085" width="5.28515625" bestFit="1" customWidth="1"/>
    <col min="13086" max="13086" width="5.7109375" bestFit="1" customWidth="1"/>
    <col min="13087" max="13087" width="6.28515625" bestFit="1" customWidth="1"/>
    <col min="13088" max="13088" width="4.28515625" bestFit="1" customWidth="1"/>
    <col min="13089" max="13090" width="4.42578125" bestFit="1" customWidth="1"/>
    <col min="13091" max="13091" width="6.5703125" bestFit="1" customWidth="1"/>
    <col min="13092" max="13092" width="7.5703125" bestFit="1" customWidth="1"/>
    <col min="13093" max="13093" width="6.5703125" bestFit="1" customWidth="1"/>
    <col min="13094" max="13094" width="7.5703125" bestFit="1" customWidth="1"/>
    <col min="13095" max="13095" width="10.85546875" bestFit="1" customWidth="1"/>
    <col min="13096" max="13096" width="7" bestFit="1" customWidth="1"/>
    <col min="13097" max="13097" width="10" bestFit="1" customWidth="1"/>
    <col min="13317" max="13317" width="12.140625" bestFit="1" customWidth="1"/>
    <col min="13318" max="13318" width="27.42578125" bestFit="1" customWidth="1"/>
    <col min="13319" max="13320" width="4.5703125" bestFit="1" customWidth="1"/>
    <col min="13321" max="13321" width="8.42578125" bestFit="1" customWidth="1"/>
    <col min="13322" max="13324" width="3.28515625" bestFit="1" customWidth="1"/>
    <col min="13325" max="13325" width="25.5703125" bestFit="1" customWidth="1"/>
    <col min="13326" max="13326" width="8.140625" bestFit="1" customWidth="1"/>
    <col min="13327" max="13327" width="5.7109375" bestFit="1" customWidth="1"/>
    <col min="13328" max="13330" width="3.42578125" bestFit="1" customWidth="1"/>
    <col min="13331" max="13331" width="3.28515625" bestFit="1" customWidth="1"/>
    <col min="13332" max="13333" width="5.7109375" bestFit="1" customWidth="1"/>
    <col min="13334" max="13334" width="3.42578125" bestFit="1" customWidth="1"/>
    <col min="13335" max="13335" width="7.7109375" customWidth="1"/>
    <col min="13336" max="13336" width="5.42578125" bestFit="1" customWidth="1"/>
    <col min="13337" max="13338" width="4.85546875" bestFit="1" customWidth="1"/>
    <col min="13339" max="13339" width="5.7109375" bestFit="1" customWidth="1"/>
    <col min="13340" max="13340" width="8" customWidth="1"/>
    <col min="13341" max="13341" width="5.28515625" bestFit="1" customWidth="1"/>
    <col min="13342" max="13342" width="5.7109375" bestFit="1" customWidth="1"/>
    <col min="13343" max="13343" width="6.28515625" bestFit="1" customWidth="1"/>
    <col min="13344" max="13344" width="4.28515625" bestFit="1" customWidth="1"/>
    <col min="13345" max="13346" width="4.42578125" bestFit="1" customWidth="1"/>
    <col min="13347" max="13347" width="6.5703125" bestFit="1" customWidth="1"/>
    <col min="13348" max="13348" width="7.5703125" bestFit="1" customWidth="1"/>
    <col min="13349" max="13349" width="6.5703125" bestFit="1" customWidth="1"/>
    <col min="13350" max="13350" width="7.5703125" bestFit="1" customWidth="1"/>
    <col min="13351" max="13351" width="10.85546875" bestFit="1" customWidth="1"/>
    <col min="13352" max="13352" width="7" bestFit="1" customWidth="1"/>
    <col min="13353" max="13353" width="10" bestFit="1" customWidth="1"/>
    <col min="13573" max="13573" width="12.140625" bestFit="1" customWidth="1"/>
    <col min="13574" max="13574" width="27.42578125" bestFit="1" customWidth="1"/>
    <col min="13575" max="13576" width="4.5703125" bestFit="1" customWidth="1"/>
    <col min="13577" max="13577" width="8.42578125" bestFit="1" customWidth="1"/>
    <col min="13578" max="13580" width="3.28515625" bestFit="1" customWidth="1"/>
    <col min="13581" max="13581" width="25.5703125" bestFit="1" customWidth="1"/>
    <col min="13582" max="13582" width="8.140625" bestFit="1" customWidth="1"/>
    <col min="13583" max="13583" width="5.7109375" bestFit="1" customWidth="1"/>
    <col min="13584" max="13586" width="3.42578125" bestFit="1" customWidth="1"/>
    <col min="13587" max="13587" width="3.28515625" bestFit="1" customWidth="1"/>
    <col min="13588" max="13589" width="5.7109375" bestFit="1" customWidth="1"/>
    <col min="13590" max="13590" width="3.42578125" bestFit="1" customWidth="1"/>
    <col min="13591" max="13591" width="7.7109375" customWidth="1"/>
    <col min="13592" max="13592" width="5.42578125" bestFit="1" customWidth="1"/>
    <col min="13593" max="13594" width="4.85546875" bestFit="1" customWidth="1"/>
    <col min="13595" max="13595" width="5.7109375" bestFit="1" customWidth="1"/>
    <col min="13596" max="13596" width="8" customWidth="1"/>
    <col min="13597" max="13597" width="5.28515625" bestFit="1" customWidth="1"/>
    <col min="13598" max="13598" width="5.7109375" bestFit="1" customWidth="1"/>
    <col min="13599" max="13599" width="6.28515625" bestFit="1" customWidth="1"/>
    <col min="13600" max="13600" width="4.28515625" bestFit="1" customWidth="1"/>
    <col min="13601" max="13602" width="4.42578125" bestFit="1" customWidth="1"/>
    <col min="13603" max="13603" width="6.5703125" bestFit="1" customWidth="1"/>
    <col min="13604" max="13604" width="7.5703125" bestFit="1" customWidth="1"/>
    <col min="13605" max="13605" width="6.5703125" bestFit="1" customWidth="1"/>
    <col min="13606" max="13606" width="7.5703125" bestFit="1" customWidth="1"/>
    <col min="13607" max="13607" width="10.85546875" bestFit="1" customWidth="1"/>
    <col min="13608" max="13608" width="7" bestFit="1" customWidth="1"/>
    <col min="13609" max="13609" width="10" bestFit="1" customWidth="1"/>
    <col min="13829" max="13829" width="12.140625" bestFit="1" customWidth="1"/>
    <col min="13830" max="13830" width="27.42578125" bestFit="1" customWidth="1"/>
    <col min="13831" max="13832" width="4.5703125" bestFit="1" customWidth="1"/>
    <col min="13833" max="13833" width="8.42578125" bestFit="1" customWidth="1"/>
    <col min="13834" max="13836" width="3.28515625" bestFit="1" customWidth="1"/>
    <col min="13837" max="13837" width="25.5703125" bestFit="1" customWidth="1"/>
    <col min="13838" max="13838" width="8.140625" bestFit="1" customWidth="1"/>
    <col min="13839" max="13839" width="5.7109375" bestFit="1" customWidth="1"/>
    <col min="13840" max="13842" width="3.42578125" bestFit="1" customWidth="1"/>
    <col min="13843" max="13843" width="3.28515625" bestFit="1" customWidth="1"/>
    <col min="13844" max="13845" width="5.7109375" bestFit="1" customWidth="1"/>
    <col min="13846" max="13846" width="3.42578125" bestFit="1" customWidth="1"/>
    <col min="13847" max="13847" width="7.7109375" customWidth="1"/>
    <col min="13848" max="13848" width="5.42578125" bestFit="1" customWidth="1"/>
    <col min="13849" max="13850" width="4.85546875" bestFit="1" customWidth="1"/>
    <col min="13851" max="13851" width="5.7109375" bestFit="1" customWidth="1"/>
    <col min="13852" max="13852" width="8" customWidth="1"/>
    <col min="13853" max="13853" width="5.28515625" bestFit="1" customWidth="1"/>
    <col min="13854" max="13854" width="5.7109375" bestFit="1" customWidth="1"/>
    <col min="13855" max="13855" width="6.28515625" bestFit="1" customWidth="1"/>
    <col min="13856" max="13856" width="4.28515625" bestFit="1" customWidth="1"/>
    <col min="13857" max="13858" width="4.42578125" bestFit="1" customWidth="1"/>
    <col min="13859" max="13859" width="6.5703125" bestFit="1" customWidth="1"/>
    <col min="13860" max="13860" width="7.5703125" bestFit="1" customWidth="1"/>
    <col min="13861" max="13861" width="6.5703125" bestFit="1" customWidth="1"/>
    <col min="13862" max="13862" width="7.5703125" bestFit="1" customWidth="1"/>
    <col min="13863" max="13863" width="10.85546875" bestFit="1" customWidth="1"/>
    <col min="13864" max="13864" width="7" bestFit="1" customWidth="1"/>
    <col min="13865" max="13865" width="10" bestFit="1" customWidth="1"/>
    <col min="14085" max="14085" width="12.140625" bestFit="1" customWidth="1"/>
    <col min="14086" max="14086" width="27.42578125" bestFit="1" customWidth="1"/>
    <col min="14087" max="14088" width="4.5703125" bestFit="1" customWidth="1"/>
    <col min="14089" max="14089" width="8.42578125" bestFit="1" customWidth="1"/>
    <col min="14090" max="14092" width="3.28515625" bestFit="1" customWidth="1"/>
    <col min="14093" max="14093" width="25.5703125" bestFit="1" customWidth="1"/>
    <col min="14094" max="14094" width="8.140625" bestFit="1" customWidth="1"/>
    <col min="14095" max="14095" width="5.7109375" bestFit="1" customWidth="1"/>
    <col min="14096" max="14098" width="3.42578125" bestFit="1" customWidth="1"/>
    <col min="14099" max="14099" width="3.28515625" bestFit="1" customWidth="1"/>
    <col min="14100" max="14101" width="5.7109375" bestFit="1" customWidth="1"/>
    <col min="14102" max="14102" width="3.42578125" bestFit="1" customWidth="1"/>
    <col min="14103" max="14103" width="7.7109375" customWidth="1"/>
    <col min="14104" max="14104" width="5.42578125" bestFit="1" customWidth="1"/>
    <col min="14105" max="14106" width="4.85546875" bestFit="1" customWidth="1"/>
    <col min="14107" max="14107" width="5.7109375" bestFit="1" customWidth="1"/>
    <col min="14108" max="14108" width="8" customWidth="1"/>
    <col min="14109" max="14109" width="5.28515625" bestFit="1" customWidth="1"/>
    <col min="14110" max="14110" width="5.7109375" bestFit="1" customWidth="1"/>
    <col min="14111" max="14111" width="6.28515625" bestFit="1" customWidth="1"/>
    <col min="14112" max="14112" width="4.28515625" bestFit="1" customWidth="1"/>
    <col min="14113" max="14114" width="4.42578125" bestFit="1" customWidth="1"/>
    <col min="14115" max="14115" width="6.5703125" bestFit="1" customWidth="1"/>
    <col min="14116" max="14116" width="7.5703125" bestFit="1" customWidth="1"/>
    <col min="14117" max="14117" width="6.5703125" bestFit="1" customWidth="1"/>
    <col min="14118" max="14118" width="7.5703125" bestFit="1" customWidth="1"/>
    <col min="14119" max="14119" width="10.85546875" bestFit="1" customWidth="1"/>
    <col min="14120" max="14120" width="7" bestFit="1" customWidth="1"/>
    <col min="14121" max="14121" width="10" bestFit="1" customWidth="1"/>
    <col min="14341" max="14341" width="12.140625" bestFit="1" customWidth="1"/>
    <col min="14342" max="14342" width="27.42578125" bestFit="1" customWidth="1"/>
    <col min="14343" max="14344" width="4.5703125" bestFit="1" customWidth="1"/>
    <col min="14345" max="14345" width="8.42578125" bestFit="1" customWidth="1"/>
    <col min="14346" max="14348" width="3.28515625" bestFit="1" customWidth="1"/>
    <col min="14349" max="14349" width="25.5703125" bestFit="1" customWidth="1"/>
    <col min="14350" max="14350" width="8.140625" bestFit="1" customWidth="1"/>
    <col min="14351" max="14351" width="5.7109375" bestFit="1" customWidth="1"/>
    <col min="14352" max="14354" width="3.42578125" bestFit="1" customWidth="1"/>
    <col min="14355" max="14355" width="3.28515625" bestFit="1" customWidth="1"/>
    <col min="14356" max="14357" width="5.7109375" bestFit="1" customWidth="1"/>
    <col min="14358" max="14358" width="3.42578125" bestFit="1" customWidth="1"/>
    <col min="14359" max="14359" width="7.7109375" customWidth="1"/>
    <col min="14360" max="14360" width="5.42578125" bestFit="1" customWidth="1"/>
    <col min="14361" max="14362" width="4.85546875" bestFit="1" customWidth="1"/>
    <col min="14363" max="14363" width="5.7109375" bestFit="1" customWidth="1"/>
    <col min="14364" max="14364" width="8" customWidth="1"/>
    <col min="14365" max="14365" width="5.28515625" bestFit="1" customWidth="1"/>
    <col min="14366" max="14366" width="5.7109375" bestFit="1" customWidth="1"/>
    <col min="14367" max="14367" width="6.28515625" bestFit="1" customWidth="1"/>
    <col min="14368" max="14368" width="4.28515625" bestFit="1" customWidth="1"/>
    <col min="14369" max="14370" width="4.42578125" bestFit="1" customWidth="1"/>
    <col min="14371" max="14371" width="6.5703125" bestFit="1" customWidth="1"/>
    <col min="14372" max="14372" width="7.5703125" bestFit="1" customWidth="1"/>
    <col min="14373" max="14373" width="6.5703125" bestFit="1" customWidth="1"/>
    <col min="14374" max="14374" width="7.5703125" bestFit="1" customWidth="1"/>
    <col min="14375" max="14375" width="10.85546875" bestFit="1" customWidth="1"/>
    <col min="14376" max="14376" width="7" bestFit="1" customWidth="1"/>
    <col min="14377" max="14377" width="10" bestFit="1" customWidth="1"/>
    <col min="14597" max="14597" width="12.140625" bestFit="1" customWidth="1"/>
    <col min="14598" max="14598" width="27.42578125" bestFit="1" customWidth="1"/>
    <col min="14599" max="14600" width="4.5703125" bestFit="1" customWidth="1"/>
    <col min="14601" max="14601" width="8.42578125" bestFit="1" customWidth="1"/>
    <col min="14602" max="14604" width="3.28515625" bestFit="1" customWidth="1"/>
    <col min="14605" max="14605" width="25.5703125" bestFit="1" customWidth="1"/>
    <col min="14606" max="14606" width="8.140625" bestFit="1" customWidth="1"/>
    <col min="14607" max="14607" width="5.7109375" bestFit="1" customWidth="1"/>
    <col min="14608" max="14610" width="3.42578125" bestFit="1" customWidth="1"/>
    <col min="14611" max="14611" width="3.28515625" bestFit="1" customWidth="1"/>
    <col min="14612" max="14613" width="5.7109375" bestFit="1" customWidth="1"/>
    <col min="14614" max="14614" width="3.42578125" bestFit="1" customWidth="1"/>
    <col min="14615" max="14615" width="7.7109375" customWidth="1"/>
    <col min="14616" max="14616" width="5.42578125" bestFit="1" customWidth="1"/>
    <col min="14617" max="14618" width="4.85546875" bestFit="1" customWidth="1"/>
    <col min="14619" max="14619" width="5.7109375" bestFit="1" customWidth="1"/>
    <col min="14620" max="14620" width="8" customWidth="1"/>
    <col min="14621" max="14621" width="5.28515625" bestFit="1" customWidth="1"/>
    <col min="14622" max="14622" width="5.7109375" bestFit="1" customWidth="1"/>
    <col min="14623" max="14623" width="6.28515625" bestFit="1" customWidth="1"/>
    <col min="14624" max="14624" width="4.28515625" bestFit="1" customWidth="1"/>
    <col min="14625" max="14626" width="4.42578125" bestFit="1" customWidth="1"/>
    <col min="14627" max="14627" width="6.5703125" bestFit="1" customWidth="1"/>
    <col min="14628" max="14628" width="7.5703125" bestFit="1" customWidth="1"/>
    <col min="14629" max="14629" width="6.5703125" bestFit="1" customWidth="1"/>
    <col min="14630" max="14630" width="7.5703125" bestFit="1" customWidth="1"/>
    <col min="14631" max="14631" width="10.85546875" bestFit="1" customWidth="1"/>
    <col min="14632" max="14632" width="7" bestFit="1" customWidth="1"/>
    <col min="14633" max="14633" width="10" bestFit="1" customWidth="1"/>
    <col min="14853" max="14853" width="12.140625" bestFit="1" customWidth="1"/>
    <col min="14854" max="14854" width="27.42578125" bestFit="1" customWidth="1"/>
    <col min="14855" max="14856" width="4.5703125" bestFit="1" customWidth="1"/>
    <col min="14857" max="14857" width="8.42578125" bestFit="1" customWidth="1"/>
    <col min="14858" max="14860" width="3.28515625" bestFit="1" customWidth="1"/>
    <col min="14861" max="14861" width="25.5703125" bestFit="1" customWidth="1"/>
    <col min="14862" max="14862" width="8.140625" bestFit="1" customWidth="1"/>
    <col min="14863" max="14863" width="5.7109375" bestFit="1" customWidth="1"/>
    <col min="14864" max="14866" width="3.42578125" bestFit="1" customWidth="1"/>
    <col min="14867" max="14867" width="3.28515625" bestFit="1" customWidth="1"/>
    <col min="14868" max="14869" width="5.7109375" bestFit="1" customWidth="1"/>
    <col min="14870" max="14870" width="3.42578125" bestFit="1" customWidth="1"/>
    <col min="14871" max="14871" width="7.7109375" customWidth="1"/>
    <col min="14872" max="14872" width="5.42578125" bestFit="1" customWidth="1"/>
    <col min="14873" max="14874" width="4.85546875" bestFit="1" customWidth="1"/>
    <col min="14875" max="14875" width="5.7109375" bestFit="1" customWidth="1"/>
    <col min="14876" max="14876" width="8" customWidth="1"/>
    <col min="14877" max="14877" width="5.28515625" bestFit="1" customWidth="1"/>
    <col min="14878" max="14878" width="5.7109375" bestFit="1" customWidth="1"/>
    <col min="14879" max="14879" width="6.28515625" bestFit="1" customWidth="1"/>
    <col min="14880" max="14880" width="4.28515625" bestFit="1" customWidth="1"/>
    <col min="14881" max="14882" width="4.42578125" bestFit="1" customWidth="1"/>
    <col min="14883" max="14883" width="6.5703125" bestFit="1" customWidth="1"/>
    <col min="14884" max="14884" width="7.5703125" bestFit="1" customWidth="1"/>
    <col min="14885" max="14885" width="6.5703125" bestFit="1" customWidth="1"/>
    <col min="14886" max="14886" width="7.5703125" bestFit="1" customWidth="1"/>
    <col min="14887" max="14887" width="10.85546875" bestFit="1" customWidth="1"/>
    <col min="14888" max="14888" width="7" bestFit="1" customWidth="1"/>
    <col min="14889" max="14889" width="10" bestFit="1" customWidth="1"/>
    <col min="15109" max="15109" width="12.140625" bestFit="1" customWidth="1"/>
    <col min="15110" max="15110" width="27.42578125" bestFit="1" customWidth="1"/>
    <col min="15111" max="15112" width="4.5703125" bestFit="1" customWidth="1"/>
    <col min="15113" max="15113" width="8.42578125" bestFit="1" customWidth="1"/>
    <col min="15114" max="15116" width="3.28515625" bestFit="1" customWidth="1"/>
    <col min="15117" max="15117" width="25.5703125" bestFit="1" customWidth="1"/>
    <col min="15118" max="15118" width="8.140625" bestFit="1" customWidth="1"/>
    <col min="15119" max="15119" width="5.7109375" bestFit="1" customWidth="1"/>
    <col min="15120" max="15122" width="3.42578125" bestFit="1" customWidth="1"/>
    <col min="15123" max="15123" width="3.28515625" bestFit="1" customWidth="1"/>
    <col min="15124" max="15125" width="5.7109375" bestFit="1" customWidth="1"/>
    <col min="15126" max="15126" width="3.42578125" bestFit="1" customWidth="1"/>
    <col min="15127" max="15127" width="7.7109375" customWidth="1"/>
    <col min="15128" max="15128" width="5.42578125" bestFit="1" customWidth="1"/>
    <col min="15129" max="15130" width="4.85546875" bestFit="1" customWidth="1"/>
    <col min="15131" max="15131" width="5.7109375" bestFit="1" customWidth="1"/>
    <col min="15132" max="15132" width="8" customWidth="1"/>
    <col min="15133" max="15133" width="5.28515625" bestFit="1" customWidth="1"/>
    <col min="15134" max="15134" width="5.7109375" bestFit="1" customWidth="1"/>
    <col min="15135" max="15135" width="6.28515625" bestFit="1" customWidth="1"/>
    <col min="15136" max="15136" width="4.28515625" bestFit="1" customWidth="1"/>
    <col min="15137" max="15138" width="4.42578125" bestFit="1" customWidth="1"/>
    <col min="15139" max="15139" width="6.5703125" bestFit="1" customWidth="1"/>
    <col min="15140" max="15140" width="7.5703125" bestFit="1" customWidth="1"/>
    <col min="15141" max="15141" width="6.5703125" bestFit="1" customWidth="1"/>
    <col min="15142" max="15142" width="7.5703125" bestFit="1" customWidth="1"/>
    <col min="15143" max="15143" width="10.85546875" bestFit="1" customWidth="1"/>
    <col min="15144" max="15144" width="7" bestFit="1" customWidth="1"/>
    <col min="15145" max="15145" width="10" bestFit="1" customWidth="1"/>
    <col min="15365" max="15365" width="12.140625" bestFit="1" customWidth="1"/>
    <col min="15366" max="15366" width="27.42578125" bestFit="1" customWidth="1"/>
    <col min="15367" max="15368" width="4.5703125" bestFit="1" customWidth="1"/>
    <col min="15369" max="15369" width="8.42578125" bestFit="1" customWidth="1"/>
    <col min="15370" max="15372" width="3.28515625" bestFit="1" customWidth="1"/>
    <col min="15373" max="15373" width="25.5703125" bestFit="1" customWidth="1"/>
    <col min="15374" max="15374" width="8.140625" bestFit="1" customWidth="1"/>
    <col min="15375" max="15375" width="5.7109375" bestFit="1" customWidth="1"/>
    <col min="15376" max="15378" width="3.42578125" bestFit="1" customWidth="1"/>
    <col min="15379" max="15379" width="3.28515625" bestFit="1" customWidth="1"/>
    <col min="15380" max="15381" width="5.7109375" bestFit="1" customWidth="1"/>
    <col min="15382" max="15382" width="3.42578125" bestFit="1" customWidth="1"/>
    <col min="15383" max="15383" width="7.7109375" customWidth="1"/>
    <col min="15384" max="15384" width="5.42578125" bestFit="1" customWidth="1"/>
    <col min="15385" max="15386" width="4.85546875" bestFit="1" customWidth="1"/>
    <col min="15387" max="15387" width="5.7109375" bestFit="1" customWidth="1"/>
    <col min="15388" max="15388" width="8" customWidth="1"/>
    <col min="15389" max="15389" width="5.28515625" bestFit="1" customWidth="1"/>
    <col min="15390" max="15390" width="5.7109375" bestFit="1" customWidth="1"/>
    <col min="15391" max="15391" width="6.28515625" bestFit="1" customWidth="1"/>
    <col min="15392" max="15392" width="4.28515625" bestFit="1" customWidth="1"/>
    <col min="15393" max="15394" width="4.42578125" bestFit="1" customWidth="1"/>
    <col min="15395" max="15395" width="6.5703125" bestFit="1" customWidth="1"/>
    <col min="15396" max="15396" width="7.5703125" bestFit="1" customWidth="1"/>
    <col min="15397" max="15397" width="6.5703125" bestFit="1" customWidth="1"/>
    <col min="15398" max="15398" width="7.5703125" bestFit="1" customWidth="1"/>
    <col min="15399" max="15399" width="10.85546875" bestFit="1" customWidth="1"/>
    <col min="15400" max="15400" width="7" bestFit="1" customWidth="1"/>
    <col min="15401" max="15401" width="10" bestFit="1" customWidth="1"/>
    <col min="15621" max="15621" width="12.140625" bestFit="1" customWidth="1"/>
    <col min="15622" max="15622" width="27.42578125" bestFit="1" customWidth="1"/>
    <col min="15623" max="15624" width="4.5703125" bestFit="1" customWidth="1"/>
    <col min="15625" max="15625" width="8.42578125" bestFit="1" customWidth="1"/>
    <col min="15626" max="15628" width="3.28515625" bestFit="1" customWidth="1"/>
    <col min="15629" max="15629" width="25.5703125" bestFit="1" customWidth="1"/>
    <col min="15630" max="15630" width="8.140625" bestFit="1" customWidth="1"/>
    <col min="15631" max="15631" width="5.7109375" bestFit="1" customWidth="1"/>
    <col min="15632" max="15634" width="3.42578125" bestFit="1" customWidth="1"/>
    <col min="15635" max="15635" width="3.28515625" bestFit="1" customWidth="1"/>
    <col min="15636" max="15637" width="5.7109375" bestFit="1" customWidth="1"/>
    <col min="15638" max="15638" width="3.42578125" bestFit="1" customWidth="1"/>
    <col min="15639" max="15639" width="7.7109375" customWidth="1"/>
    <col min="15640" max="15640" width="5.42578125" bestFit="1" customWidth="1"/>
    <col min="15641" max="15642" width="4.85546875" bestFit="1" customWidth="1"/>
    <col min="15643" max="15643" width="5.7109375" bestFit="1" customWidth="1"/>
    <col min="15644" max="15644" width="8" customWidth="1"/>
    <col min="15645" max="15645" width="5.28515625" bestFit="1" customWidth="1"/>
    <col min="15646" max="15646" width="5.7109375" bestFit="1" customWidth="1"/>
    <col min="15647" max="15647" width="6.28515625" bestFit="1" customWidth="1"/>
    <col min="15648" max="15648" width="4.28515625" bestFit="1" customWidth="1"/>
    <col min="15649" max="15650" width="4.42578125" bestFit="1" customWidth="1"/>
    <col min="15651" max="15651" width="6.5703125" bestFit="1" customWidth="1"/>
    <col min="15652" max="15652" width="7.5703125" bestFit="1" customWidth="1"/>
    <col min="15653" max="15653" width="6.5703125" bestFit="1" customWidth="1"/>
    <col min="15654" max="15654" width="7.5703125" bestFit="1" customWidth="1"/>
    <col min="15655" max="15655" width="10.85546875" bestFit="1" customWidth="1"/>
    <col min="15656" max="15656" width="7" bestFit="1" customWidth="1"/>
    <col min="15657" max="15657" width="10" bestFit="1" customWidth="1"/>
    <col min="15877" max="15877" width="12.140625" bestFit="1" customWidth="1"/>
    <col min="15878" max="15878" width="27.42578125" bestFit="1" customWidth="1"/>
    <col min="15879" max="15880" width="4.5703125" bestFit="1" customWidth="1"/>
    <col min="15881" max="15881" width="8.42578125" bestFit="1" customWidth="1"/>
    <col min="15882" max="15884" width="3.28515625" bestFit="1" customWidth="1"/>
    <col min="15885" max="15885" width="25.5703125" bestFit="1" customWidth="1"/>
    <col min="15886" max="15886" width="8.140625" bestFit="1" customWidth="1"/>
    <col min="15887" max="15887" width="5.7109375" bestFit="1" customWidth="1"/>
    <col min="15888" max="15890" width="3.42578125" bestFit="1" customWidth="1"/>
    <col min="15891" max="15891" width="3.28515625" bestFit="1" customWidth="1"/>
    <col min="15892" max="15893" width="5.7109375" bestFit="1" customWidth="1"/>
    <col min="15894" max="15894" width="3.42578125" bestFit="1" customWidth="1"/>
    <col min="15895" max="15895" width="7.7109375" customWidth="1"/>
    <col min="15896" max="15896" width="5.42578125" bestFit="1" customWidth="1"/>
    <col min="15897" max="15898" width="4.85546875" bestFit="1" customWidth="1"/>
    <col min="15899" max="15899" width="5.7109375" bestFit="1" customWidth="1"/>
    <col min="15900" max="15900" width="8" customWidth="1"/>
    <col min="15901" max="15901" width="5.28515625" bestFit="1" customWidth="1"/>
    <col min="15902" max="15902" width="5.7109375" bestFit="1" customWidth="1"/>
    <col min="15903" max="15903" width="6.28515625" bestFit="1" customWidth="1"/>
    <col min="15904" max="15904" width="4.28515625" bestFit="1" customWidth="1"/>
    <col min="15905" max="15906" width="4.42578125" bestFit="1" customWidth="1"/>
    <col min="15907" max="15907" width="6.5703125" bestFit="1" customWidth="1"/>
    <col min="15908" max="15908" width="7.5703125" bestFit="1" customWidth="1"/>
    <col min="15909" max="15909" width="6.5703125" bestFit="1" customWidth="1"/>
    <col min="15910" max="15910" width="7.5703125" bestFit="1" customWidth="1"/>
    <col min="15911" max="15911" width="10.85546875" bestFit="1" customWidth="1"/>
    <col min="15912" max="15912" width="7" bestFit="1" customWidth="1"/>
    <col min="15913" max="15913" width="10" bestFit="1" customWidth="1"/>
    <col min="16133" max="16133" width="12.140625" bestFit="1" customWidth="1"/>
    <col min="16134" max="16134" width="27.42578125" bestFit="1" customWidth="1"/>
    <col min="16135" max="16136" width="4.5703125" bestFit="1" customWidth="1"/>
    <col min="16137" max="16137" width="8.42578125" bestFit="1" customWidth="1"/>
    <col min="16138" max="16140" width="3.28515625" bestFit="1" customWidth="1"/>
    <col min="16141" max="16141" width="25.5703125" bestFit="1" customWidth="1"/>
    <col min="16142" max="16142" width="8.140625" bestFit="1" customWidth="1"/>
    <col min="16143" max="16143" width="5.7109375" bestFit="1" customWidth="1"/>
    <col min="16144" max="16146" width="3.42578125" bestFit="1" customWidth="1"/>
    <col min="16147" max="16147" width="3.28515625" bestFit="1" customWidth="1"/>
    <col min="16148" max="16149" width="5.7109375" bestFit="1" customWidth="1"/>
    <col min="16150" max="16150" width="3.42578125" bestFit="1" customWidth="1"/>
    <col min="16151" max="16151" width="7.7109375" customWidth="1"/>
    <col min="16152" max="16152" width="5.42578125" bestFit="1" customWidth="1"/>
    <col min="16153" max="16154" width="4.85546875" bestFit="1" customWidth="1"/>
    <col min="16155" max="16155" width="5.7109375" bestFit="1" customWidth="1"/>
    <col min="16156" max="16156" width="8" customWidth="1"/>
    <col min="16157" max="16157" width="5.28515625" bestFit="1" customWidth="1"/>
    <col min="16158" max="16158" width="5.7109375" bestFit="1" customWidth="1"/>
    <col min="16159" max="16159" width="6.28515625" bestFit="1" customWidth="1"/>
    <col min="16160" max="16160" width="4.28515625" bestFit="1" customWidth="1"/>
    <col min="16161" max="16162" width="4.42578125" bestFit="1" customWidth="1"/>
    <col min="16163" max="16163" width="6.5703125" bestFit="1" customWidth="1"/>
    <col min="16164" max="16164" width="7.5703125" bestFit="1" customWidth="1"/>
    <col min="16165" max="16165" width="6.5703125" bestFit="1" customWidth="1"/>
    <col min="16166" max="16166" width="7.5703125" bestFit="1" customWidth="1"/>
    <col min="16167" max="16167" width="10.85546875" bestFit="1" customWidth="1"/>
    <col min="16168" max="16168" width="7" bestFit="1" customWidth="1"/>
    <col min="16169" max="16169" width="10" bestFit="1" customWidth="1"/>
  </cols>
  <sheetData>
    <row r="1" spans="1:41" ht="15.75" x14ac:dyDescent="0.25">
      <c r="A1" s="86"/>
      <c r="B1" s="86"/>
      <c r="C1" s="86"/>
      <c r="D1" s="1"/>
      <c r="E1" s="1"/>
      <c r="F1" s="1"/>
      <c r="G1" s="1"/>
      <c r="H1" s="1"/>
      <c r="I1" s="1"/>
      <c r="J1" s="86"/>
      <c r="K1" s="1"/>
      <c r="L1" s="171" t="s">
        <v>0</v>
      </c>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row>
    <row r="2" spans="1:41" ht="15.75" x14ac:dyDescent="0.25">
      <c r="A2" s="86"/>
      <c r="B2" s="86"/>
      <c r="C2" s="86"/>
      <c r="D2" s="1"/>
      <c r="E2" s="1"/>
      <c r="F2" s="1"/>
      <c r="G2" s="1"/>
      <c r="H2" s="1"/>
      <c r="I2" s="1"/>
      <c r="J2" s="86"/>
      <c r="K2" s="1"/>
      <c r="L2" s="2" t="s">
        <v>1</v>
      </c>
      <c r="M2" s="2"/>
      <c r="N2" s="2"/>
      <c r="O2" s="2"/>
      <c r="P2" s="2"/>
      <c r="Q2" s="2"/>
      <c r="R2" s="2"/>
      <c r="S2" s="2"/>
      <c r="T2" s="2"/>
      <c r="U2" s="1"/>
      <c r="V2" s="172"/>
      <c r="W2" s="172"/>
      <c r="X2" s="1"/>
      <c r="Y2" s="1"/>
      <c r="Z2" s="1"/>
      <c r="AA2" s="1"/>
      <c r="AB2" s="1"/>
      <c r="AC2" s="1"/>
      <c r="AD2" s="1"/>
      <c r="AE2" s="1"/>
      <c r="AF2" s="3"/>
      <c r="AG2" s="3"/>
      <c r="AH2" s="3"/>
      <c r="AI2" s="3"/>
      <c r="AJ2" s="3"/>
      <c r="AK2" s="3"/>
      <c r="AL2" s="3"/>
      <c r="AM2" s="3"/>
      <c r="AN2" s="3"/>
      <c r="AO2" s="1"/>
    </row>
    <row r="3" spans="1:41" ht="15.75" x14ac:dyDescent="0.25">
      <c r="A3" s="86"/>
      <c r="B3" s="86"/>
      <c r="C3" s="86"/>
      <c r="D3" s="1"/>
      <c r="E3" s="1"/>
      <c r="F3" s="1"/>
      <c r="G3" s="1"/>
      <c r="H3" s="1"/>
      <c r="I3" s="1"/>
      <c r="J3" s="86"/>
      <c r="K3" s="1"/>
      <c r="L3" s="2" t="s">
        <v>2</v>
      </c>
      <c r="M3" s="2"/>
      <c r="N3" s="2"/>
      <c r="O3" s="2"/>
      <c r="P3" s="2"/>
      <c r="Q3" s="2"/>
      <c r="R3" s="2"/>
      <c r="S3" s="2"/>
      <c r="T3" s="2"/>
      <c r="U3" s="1"/>
      <c r="V3" s="172"/>
      <c r="W3" s="172"/>
      <c r="X3" s="1"/>
      <c r="Y3" s="1"/>
      <c r="Z3" s="1"/>
      <c r="AA3" s="1"/>
      <c r="AB3" s="1"/>
      <c r="AC3" s="1"/>
      <c r="AD3" s="1"/>
      <c r="AE3" s="1"/>
      <c r="AF3" s="3"/>
      <c r="AG3" s="3"/>
      <c r="AH3" s="3"/>
      <c r="AI3" s="3"/>
      <c r="AJ3" s="3"/>
      <c r="AK3" s="3"/>
      <c r="AL3" s="3"/>
      <c r="AM3" s="3"/>
      <c r="AN3" s="3"/>
      <c r="AO3" s="1"/>
    </row>
    <row r="4" spans="1:41" ht="16.5" thickBot="1" x14ac:dyDescent="0.3">
      <c r="A4" s="86"/>
      <c r="B4" s="86"/>
      <c r="C4" s="86"/>
      <c r="D4" s="1"/>
      <c r="E4" s="1"/>
      <c r="F4" s="1"/>
      <c r="G4" s="1"/>
      <c r="H4" s="1"/>
      <c r="I4" s="1"/>
      <c r="J4" s="86"/>
      <c r="K4" s="1"/>
      <c r="L4" s="2" t="s">
        <v>3</v>
      </c>
      <c r="M4" s="2"/>
      <c r="N4" s="2"/>
      <c r="O4" s="2"/>
      <c r="P4" s="2"/>
      <c r="Q4" s="2"/>
      <c r="R4" s="2"/>
      <c r="S4" s="2"/>
      <c r="T4" s="2"/>
      <c r="U4" s="1"/>
      <c r="V4" s="172"/>
      <c r="W4" s="172"/>
      <c r="X4" s="1"/>
      <c r="Y4" s="1"/>
      <c r="Z4" s="1"/>
      <c r="AA4" s="1"/>
      <c r="AB4" s="1"/>
      <c r="AC4" s="1"/>
      <c r="AD4" s="1"/>
      <c r="AE4" s="1"/>
      <c r="AF4" s="3"/>
      <c r="AG4" s="3"/>
      <c r="AH4" s="3"/>
      <c r="AI4" s="3"/>
      <c r="AJ4" s="3"/>
      <c r="AK4" s="3"/>
      <c r="AL4" s="3"/>
      <c r="AM4" s="3"/>
      <c r="AN4" s="3"/>
      <c r="AO4" s="1"/>
    </row>
    <row r="5" spans="1:41" x14ac:dyDescent="0.25">
      <c r="A5" s="173"/>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5"/>
    </row>
    <row r="6" spans="1:41" ht="15.75" thickBot="1" x14ac:dyDescent="0.3">
      <c r="A6" s="176"/>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8"/>
    </row>
    <row r="7" spans="1:41" s="12" customFormat="1" ht="153.75" x14ac:dyDescent="0.25">
      <c r="A7" s="103" t="s">
        <v>4</v>
      </c>
      <c r="B7" s="112" t="s">
        <v>5</v>
      </c>
      <c r="C7" s="112" t="s">
        <v>6</v>
      </c>
      <c r="D7" s="4" t="s">
        <v>7</v>
      </c>
      <c r="E7" s="4" t="s">
        <v>197</v>
      </c>
      <c r="F7" s="4" t="s">
        <v>198</v>
      </c>
      <c r="G7" s="4" t="s">
        <v>8</v>
      </c>
      <c r="H7" s="4" t="s">
        <v>9</v>
      </c>
      <c r="I7" s="4" t="s">
        <v>10</v>
      </c>
      <c r="J7" s="145" t="s">
        <v>11</v>
      </c>
      <c r="K7" s="5" t="s">
        <v>12</v>
      </c>
      <c r="L7" s="6" t="s">
        <v>13</v>
      </c>
      <c r="M7" s="6" t="s">
        <v>14</v>
      </c>
      <c r="N7" s="6" t="s">
        <v>15</v>
      </c>
      <c r="O7" s="6" t="s">
        <v>16</v>
      </c>
      <c r="P7" s="6" t="s">
        <v>17</v>
      </c>
      <c r="Q7" s="6" t="s">
        <v>18</v>
      </c>
      <c r="R7" s="6" t="s">
        <v>19</v>
      </c>
      <c r="S7" s="7" t="s">
        <v>20</v>
      </c>
      <c r="T7" s="7" t="s">
        <v>21</v>
      </c>
      <c r="U7" s="7" t="s">
        <v>22</v>
      </c>
      <c r="V7" s="7" t="s">
        <v>23</v>
      </c>
      <c r="W7" s="6" t="s">
        <v>24</v>
      </c>
      <c r="X7" s="8" t="s">
        <v>25</v>
      </c>
      <c r="Y7" s="9" t="s">
        <v>26</v>
      </c>
      <c r="Z7" s="4" t="s">
        <v>27</v>
      </c>
      <c r="AA7" s="4" t="s">
        <v>28</v>
      </c>
      <c r="AB7" s="10" t="s">
        <v>29</v>
      </c>
      <c r="AC7" s="6" t="s">
        <v>30</v>
      </c>
      <c r="AD7" s="7" t="s">
        <v>31</v>
      </c>
      <c r="AE7" s="7" t="s">
        <v>32</v>
      </c>
      <c r="AF7" s="7" t="s">
        <v>33</v>
      </c>
      <c r="AG7" s="7" t="s">
        <v>34</v>
      </c>
      <c r="AH7" s="7" t="s">
        <v>35</v>
      </c>
      <c r="AI7" s="7" t="s">
        <v>36</v>
      </c>
      <c r="AJ7" s="7" t="s">
        <v>37</v>
      </c>
      <c r="AK7" s="7" t="s">
        <v>38</v>
      </c>
      <c r="AL7" s="7" t="s">
        <v>39</v>
      </c>
      <c r="AM7" s="11" t="s">
        <v>40</v>
      </c>
    </row>
    <row r="8" spans="1:41" s="20" customFormat="1" ht="12" hidden="1" x14ac:dyDescent="0.2">
      <c r="A8" s="104" t="s">
        <v>41</v>
      </c>
      <c r="B8" s="113" t="s">
        <v>42</v>
      </c>
      <c r="C8" s="120" t="s">
        <v>43</v>
      </c>
      <c r="D8" s="13">
        <v>1</v>
      </c>
      <c r="E8" s="13"/>
      <c r="F8" s="13"/>
      <c r="G8" s="14">
        <v>1</v>
      </c>
      <c r="H8" s="13">
        <v>0</v>
      </c>
      <c r="I8" s="13">
        <v>1</v>
      </c>
      <c r="J8" s="146" t="s">
        <v>166</v>
      </c>
      <c r="K8" s="15" t="s">
        <v>45</v>
      </c>
      <c r="L8" s="16">
        <v>4.3</v>
      </c>
      <c r="M8" s="16"/>
      <c r="N8" s="16"/>
      <c r="O8" s="16"/>
      <c r="P8" s="16"/>
      <c r="Q8" s="16"/>
      <c r="R8" s="16">
        <v>10</v>
      </c>
      <c r="S8" s="16">
        <v>2500.0500000000002</v>
      </c>
      <c r="T8" s="16" t="s">
        <v>46</v>
      </c>
      <c r="U8" s="16">
        <v>2250.0500000000002</v>
      </c>
      <c r="V8" s="17">
        <f>-S8+U8</f>
        <v>-250</v>
      </c>
      <c r="W8" s="17"/>
      <c r="X8" s="17"/>
      <c r="Y8" s="13">
        <v>1</v>
      </c>
      <c r="Z8" s="14"/>
      <c r="AA8" s="13">
        <v>49.99</v>
      </c>
      <c r="AB8" s="13"/>
      <c r="AC8" s="18">
        <f>IF(AA8&gt;0,AA8/1000*S8/R8,AB8)</f>
        <v>12.497749950000001</v>
      </c>
      <c r="AD8" s="17">
        <v>7</v>
      </c>
      <c r="AE8" s="19">
        <v>50</v>
      </c>
      <c r="AF8" s="19">
        <v>25</v>
      </c>
      <c r="AG8" s="82" t="str">
        <f>IF((-S8+U8)&lt;0,"",(AC8/S8)*V8*AF8)</f>
        <v/>
      </c>
      <c r="AH8" s="81">
        <f>IF((-S8+U8)&gt;0,"",(AC8/S8)*V8*AF8)</f>
        <v>-31.243749999999999</v>
      </c>
      <c r="AI8" s="81" t="str">
        <f>IF((-S8+U8)&lt;0,"",(AC8/S8)*V8*AE8)</f>
        <v/>
      </c>
      <c r="AJ8" s="82">
        <f>IF((-S8+U8)&gt;0,"",(AC8/S8)*V8*AE8)</f>
        <v>-62.487499999999997</v>
      </c>
      <c r="AK8" s="82">
        <f>AC8*AE8*AD8*52</f>
        <v>227459.04909000004</v>
      </c>
      <c r="AL8" s="82" t="str">
        <f>IF((-S8+U8)&lt;0,"",AI8*AD8*52)</f>
        <v/>
      </c>
      <c r="AM8" s="83">
        <f>IF((-S8+U8)&gt;0,"",-AJ8*AD8*52)</f>
        <v>22745.449999999997</v>
      </c>
    </row>
    <row r="9" spans="1:41" s="20" customFormat="1" ht="12" x14ac:dyDescent="0.2">
      <c r="A9" s="105"/>
      <c r="B9" s="114"/>
      <c r="C9" s="121"/>
      <c r="D9" s="21"/>
      <c r="E9" s="21"/>
      <c r="F9" s="21"/>
      <c r="G9" s="22"/>
      <c r="H9" s="21"/>
      <c r="I9" s="21"/>
      <c r="J9" s="87" t="s">
        <v>47</v>
      </c>
      <c r="K9" s="23" t="s">
        <v>48</v>
      </c>
      <c r="L9" s="24">
        <v>4.5</v>
      </c>
      <c r="M9" s="24">
        <v>45</v>
      </c>
      <c r="N9" s="24"/>
      <c r="O9" s="24"/>
      <c r="P9" s="24"/>
      <c r="Q9" s="24"/>
      <c r="R9" s="24"/>
      <c r="S9" s="24">
        <v>600</v>
      </c>
      <c r="T9" s="24"/>
      <c r="U9" s="24">
        <v>556</v>
      </c>
      <c r="V9" s="25">
        <f>-S9+U9</f>
        <v>-44</v>
      </c>
      <c r="W9" s="26">
        <v>6</v>
      </c>
      <c r="X9" s="26">
        <v>1</v>
      </c>
      <c r="Y9" s="21"/>
      <c r="Z9" s="22"/>
      <c r="AA9" s="21"/>
      <c r="AB9" s="21">
        <v>7.99</v>
      </c>
      <c r="AC9" s="27">
        <f t="shared" ref="AC9:AC10" si="0">IF(AA9&gt;0,AA9/1000*S9/R9,AB9)</f>
        <v>7.99</v>
      </c>
      <c r="AD9" s="25">
        <v>7</v>
      </c>
      <c r="AE9" s="28">
        <v>4500</v>
      </c>
      <c r="AF9" s="28">
        <v>3540</v>
      </c>
      <c r="AG9" s="29" t="str">
        <f>IF((-S9+U9)&lt;0,"",(AC9/S9)*V9*AF9)</f>
        <v/>
      </c>
      <c r="AH9" s="30">
        <f>IF((-S9+U9)&gt;0,"",(AC9/S9)*V9*AF9)</f>
        <v>-2074.2040000000002</v>
      </c>
      <c r="AI9" s="30" t="str">
        <f>IF((-S9+U9)&lt;0,"",(AC9/S9)*V9*AE9)</f>
        <v/>
      </c>
      <c r="AJ9" s="29">
        <f>IF((-S9+U9)&gt;0,"",(AC9/S9)*V9*AE9)</f>
        <v>-2636.7000000000003</v>
      </c>
      <c r="AK9" s="29">
        <f>AC9*AE9*AD9*52</f>
        <v>13087620</v>
      </c>
      <c r="AL9" s="29" t="str">
        <f>IF((-S9+U9)&lt;0,"",AI9*AD9*52)</f>
        <v/>
      </c>
      <c r="AM9" s="84">
        <f>IF((-S9+U9)&gt;0,"",-AJ9*AD9*52)</f>
        <v>959758.8</v>
      </c>
    </row>
    <row r="10" spans="1:41" ht="15.75" hidden="1" thickBot="1" x14ac:dyDescent="0.3">
      <c r="A10" s="106" t="s">
        <v>49</v>
      </c>
      <c r="B10" s="115" t="s">
        <v>50</v>
      </c>
      <c r="C10" s="122" t="s">
        <v>51</v>
      </c>
      <c r="D10" s="31"/>
      <c r="E10" s="31">
        <v>1</v>
      </c>
      <c r="F10" s="31"/>
      <c r="G10" s="31">
        <v>3</v>
      </c>
      <c r="H10" s="31">
        <v>3</v>
      </c>
      <c r="I10" s="31">
        <v>0</v>
      </c>
      <c r="J10" s="88" t="s">
        <v>52</v>
      </c>
      <c r="K10" s="32" t="s">
        <v>53</v>
      </c>
      <c r="L10" s="33">
        <v>4.3</v>
      </c>
      <c r="M10" s="33"/>
      <c r="N10" s="33"/>
      <c r="O10" s="33"/>
      <c r="P10" s="33"/>
      <c r="Q10" s="33"/>
      <c r="R10" s="33">
        <v>1</v>
      </c>
      <c r="S10" s="33">
        <v>1190</v>
      </c>
      <c r="T10" s="33" t="s">
        <v>46</v>
      </c>
      <c r="U10" s="33">
        <v>1194</v>
      </c>
      <c r="V10" s="34">
        <f>-S10+U10</f>
        <v>4</v>
      </c>
      <c r="W10" s="34"/>
      <c r="X10" s="34"/>
      <c r="Y10" s="31">
        <v>0</v>
      </c>
      <c r="Z10" s="31"/>
      <c r="AA10" s="31"/>
      <c r="AB10" s="31">
        <v>24.99</v>
      </c>
      <c r="AC10" s="35">
        <f t="shared" si="0"/>
        <v>24.99</v>
      </c>
      <c r="AD10" s="34">
        <v>7</v>
      </c>
      <c r="AE10" s="36">
        <v>50</v>
      </c>
      <c r="AF10" s="36">
        <v>25</v>
      </c>
      <c r="AG10" s="29">
        <f t="shared" ref="AG10" si="1">IF((-S10+U10)&lt;0,"",(AC10/S10)*V10*AF10)</f>
        <v>2.0999999999999996</v>
      </c>
      <c r="AH10" s="30" t="str">
        <f t="shared" ref="AH10" si="2">IF((-S10+U10)&gt;0,"",(AC10/S10)*V10*AF10)</f>
        <v/>
      </c>
      <c r="AI10" s="30">
        <f t="shared" ref="AI10" si="3">IF((-S10+U10)&lt;0,"",(AC10/S10)*V10*AE10)</f>
        <v>4.1999999999999993</v>
      </c>
      <c r="AJ10" s="29" t="str">
        <f t="shared" ref="AJ10" si="4">IF((-S10+U10)&gt;0,"",(AC10/S10)*V10*AE10)</f>
        <v/>
      </c>
      <c r="AK10" s="29">
        <f t="shared" ref="AK10" si="5">AC10*AE10*AD10*52</f>
        <v>454818</v>
      </c>
      <c r="AL10" s="29">
        <f t="shared" ref="AL10" si="6">IF((-S10+U10)&lt;0,"",AI10*AD10*52)</f>
        <v>1528.7999999999997</v>
      </c>
      <c r="AM10" s="84" t="str">
        <f t="shared" ref="AM10" si="7">IF((-S10+U10)&gt;0,"",-AJ10*AD10*52)</f>
        <v/>
      </c>
    </row>
    <row r="11" spans="1:41" hidden="1" x14ac:dyDescent="0.25">
      <c r="A11" s="124" t="s">
        <v>262</v>
      </c>
      <c r="B11" s="124" t="s">
        <v>42</v>
      </c>
      <c r="C11" s="124" t="s">
        <v>263</v>
      </c>
      <c r="D11" s="124"/>
      <c r="E11" s="124">
        <v>1</v>
      </c>
      <c r="F11" s="124"/>
      <c r="G11" s="124">
        <v>0</v>
      </c>
      <c r="H11" s="124"/>
      <c r="I11" s="124">
        <v>0</v>
      </c>
      <c r="J11" s="99" t="s">
        <v>102</v>
      </c>
      <c r="K11" s="99" t="s">
        <v>264</v>
      </c>
      <c r="L11" s="37">
        <v>4.3</v>
      </c>
      <c r="M11" s="37"/>
      <c r="N11" s="37"/>
      <c r="O11" s="37"/>
      <c r="P11" s="37"/>
      <c r="Q11" s="37"/>
      <c r="R11" s="37">
        <v>1</v>
      </c>
      <c r="S11" s="38">
        <v>376</v>
      </c>
      <c r="T11" s="38" t="s">
        <v>46</v>
      </c>
      <c r="U11" s="39">
        <v>377</v>
      </c>
      <c r="V11" s="125">
        <f t="shared" ref="V11:V74" si="8">-S11+U11</f>
        <v>1</v>
      </c>
      <c r="W11" s="79">
        <v>0</v>
      </c>
      <c r="X11" s="40">
        <v>0</v>
      </c>
      <c r="Y11" s="124">
        <v>1</v>
      </c>
      <c r="Z11" s="124">
        <v>0</v>
      </c>
      <c r="AA11" s="124">
        <v>59.99</v>
      </c>
      <c r="AB11" s="124">
        <v>0</v>
      </c>
      <c r="AC11" s="130">
        <f>IF(AA11&gt;0,AA11/1000*S11/R11,AB11)</f>
        <v>22.556239999999999</v>
      </c>
      <c r="AD11" s="40">
        <v>7</v>
      </c>
      <c r="AE11" s="41">
        <v>10</v>
      </c>
      <c r="AF11" s="80">
        <v>10</v>
      </c>
      <c r="AG11" s="167">
        <f t="shared" ref="AG11:AG72" si="9">IF((-S11+U11)&lt;0,"",(AC11/S11)*V11*AF11)</f>
        <v>0.59989999999999999</v>
      </c>
      <c r="AH11" s="168" t="str">
        <f t="shared" ref="AH11:AH72" si="10">IF((-S11+U11)&gt;0,"",(AC11/S11)*V11*AF11)</f>
        <v/>
      </c>
      <c r="AI11" s="168">
        <f t="shared" ref="AI11:AI72" si="11">IF((-S11+U11)&lt;0,"",(AC11/S11)*V11*AE11)</f>
        <v>0.59989999999999999</v>
      </c>
      <c r="AJ11" s="167" t="str">
        <f t="shared" ref="AJ11:AJ72" si="12">IF((-S11+U11)&gt;0,"",(AC11/S11)*V11*AE11)</f>
        <v/>
      </c>
      <c r="AK11" s="167">
        <f t="shared" ref="AK11:AK72" si="13">AC11*AE11*AD11*52</f>
        <v>82104.713600000003</v>
      </c>
      <c r="AL11" s="167">
        <f t="shared" ref="AL11:AL72" si="14">IF((-S11+U11)&lt;0,"",AI11*AD11*52)</f>
        <v>218.36359999999999</v>
      </c>
      <c r="AM11" s="167" t="str">
        <f t="shared" ref="AM11:AM72" si="15">IF((-S11+U11)&gt;0,"",-AJ11*AD11*52)</f>
        <v/>
      </c>
    </row>
    <row r="12" spans="1:41" hidden="1" x14ac:dyDescent="0.25">
      <c r="A12" s="124" t="s">
        <v>262</v>
      </c>
      <c r="B12" s="124" t="s">
        <v>42</v>
      </c>
      <c r="C12" s="124" t="s">
        <v>263</v>
      </c>
      <c r="D12" s="128"/>
      <c r="E12" s="124">
        <v>1</v>
      </c>
      <c r="F12" s="128"/>
      <c r="G12" s="128">
        <v>1</v>
      </c>
      <c r="H12" s="124"/>
      <c r="I12" s="124">
        <v>1</v>
      </c>
      <c r="J12" s="99" t="s">
        <v>192</v>
      </c>
      <c r="K12" s="99" t="s">
        <v>265</v>
      </c>
      <c r="L12" s="37">
        <v>4.3</v>
      </c>
      <c r="M12" s="37"/>
      <c r="N12" s="42"/>
      <c r="O12" s="42"/>
      <c r="P12" s="42"/>
      <c r="Q12" s="42"/>
      <c r="R12" s="37">
        <v>1</v>
      </c>
      <c r="S12" s="38">
        <v>488</v>
      </c>
      <c r="T12" s="38" t="s">
        <v>46</v>
      </c>
      <c r="U12" s="39">
        <v>480</v>
      </c>
      <c r="V12" s="129">
        <f t="shared" si="8"/>
        <v>-8</v>
      </c>
      <c r="W12" s="44">
        <v>0</v>
      </c>
      <c r="X12" s="45">
        <v>0</v>
      </c>
      <c r="Y12" s="124">
        <v>1</v>
      </c>
      <c r="Z12" s="124">
        <v>0</v>
      </c>
      <c r="AA12" s="124">
        <v>9.99</v>
      </c>
      <c r="AB12" s="124">
        <v>0</v>
      </c>
      <c r="AC12" s="130">
        <f t="shared" ref="AC12:AC59" si="16">IF(AA12&gt;0,AA12/1000*S12/R12,AB12)</f>
        <v>4.8751199999999999</v>
      </c>
      <c r="AD12" s="40">
        <v>7</v>
      </c>
      <c r="AE12" s="46">
        <v>17</v>
      </c>
      <c r="AF12" s="47">
        <v>17</v>
      </c>
      <c r="AG12" s="167" t="str">
        <f t="shared" si="9"/>
        <v/>
      </c>
      <c r="AH12" s="168">
        <f t="shared" si="10"/>
        <v>-1.3586400000000001</v>
      </c>
      <c r="AI12" s="168" t="str">
        <f t="shared" si="11"/>
        <v/>
      </c>
      <c r="AJ12" s="167">
        <f t="shared" si="12"/>
        <v>-1.3586400000000001</v>
      </c>
      <c r="AK12" s="167">
        <f t="shared" si="13"/>
        <v>30167.242559999999</v>
      </c>
      <c r="AL12" s="167" t="str">
        <f t="shared" si="14"/>
        <v/>
      </c>
      <c r="AM12" s="167">
        <f t="shared" si="15"/>
        <v>494.54496000000006</v>
      </c>
    </row>
    <row r="13" spans="1:41" hidden="1" x14ac:dyDescent="0.25">
      <c r="A13" s="124" t="s">
        <v>262</v>
      </c>
      <c r="B13" s="124" t="s">
        <v>42</v>
      </c>
      <c r="C13" s="124" t="s">
        <v>263</v>
      </c>
      <c r="D13" s="128"/>
      <c r="E13" s="124">
        <v>1</v>
      </c>
      <c r="F13" s="128"/>
      <c r="G13" s="128">
        <v>1</v>
      </c>
      <c r="H13" s="128"/>
      <c r="I13" s="128">
        <v>1</v>
      </c>
      <c r="J13" s="99" t="s">
        <v>192</v>
      </c>
      <c r="K13" s="99" t="s">
        <v>266</v>
      </c>
      <c r="L13" s="37">
        <v>4.3</v>
      </c>
      <c r="M13" s="37"/>
      <c r="N13" s="42"/>
      <c r="O13" s="42"/>
      <c r="P13" s="42"/>
      <c r="Q13" s="42"/>
      <c r="R13" s="37">
        <v>1</v>
      </c>
      <c r="S13" s="38">
        <v>356</v>
      </c>
      <c r="T13" s="38" t="s">
        <v>46</v>
      </c>
      <c r="U13" s="39">
        <v>353</v>
      </c>
      <c r="V13" s="129">
        <f t="shared" si="8"/>
        <v>-3</v>
      </c>
      <c r="W13" s="44">
        <v>0</v>
      </c>
      <c r="X13" s="45">
        <v>0</v>
      </c>
      <c r="Y13" s="124">
        <v>1</v>
      </c>
      <c r="Z13" s="124">
        <v>0</v>
      </c>
      <c r="AA13" s="124">
        <v>16.989999999999998</v>
      </c>
      <c r="AB13" s="124">
        <v>0</v>
      </c>
      <c r="AC13" s="130">
        <f t="shared" si="16"/>
        <v>6.0484399999999994</v>
      </c>
      <c r="AD13" s="40">
        <v>7</v>
      </c>
      <c r="AE13" s="46">
        <v>7</v>
      </c>
      <c r="AF13" s="47">
        <v>7</v>
      </c>
      <c r="AG13" s="167" t="str">
        <f t="shared" si="9"/>
        <v/>
      </c>
      <c r="AH13" s="168">
        <f t="shared" si="10"/>
        <v>-0.35678999999999994</v>
      </c>
      <c r="AI13" s="168" t="str">
        <f t="shared" si="11"/>
        <v/>
      </c>
      <c r="AJ13" s="167">
        <f t="shared" si="12"/>
        <v>-0.35678999999999994</v>
      </c>
      <c r="AK13" s="167">
        <f t="shared" si="13"/>
        <v>15411.42512</v>
      </c>
      <c r="AL13" s="167" t="str">
        <f t="shared" si="14"/>
        <v/>
      </c>
      <c r="AM13" s="167">
        <f t="shared" si="15"/>
        <v>129.87155999999996</v>
      </c>
    </row>
    <row r="14" spans="1:41" hidden="1" x14ac:dyDescent="0.25">
      <c r="A14" s="124" t="s">
        <v>262</v>
      </c>
      <c r="B14" s="124" t="s">
        <v>42</v>
      </c>
      <c r="C14" s="124" t="s">
        <v>263</v>
      </c>
      <c r="D14" s="128"/>
      <c r="E14" s="124">
        <v>1</v>
      </c>
      <c r="F14" s="128"/>
      <c r="G14" s="128">
        <v>1</v>
      </c>
      <c r="H14" s="128"/>
      <c r="I14" s="128">
        <v>1</v>
      </c>
      <c r="J14" s="99" t="s">
        <v>192</v>
      </c>
      <c r="K14" s="99" t="s">
        <v>267</v>
      </c>
      <c r="L14" s="37">
        <v>4.3</v>
      </c>
      <c r="M14" s="37"/>
      <c r="N14" s="42"/>
      <c r="O14" s="42"/>
      <c r="P14" s="42"/>
      <c r="Q14" s="42"/>
      <c r="R14" s="37">
        <v>1</v>
      </c>
      <c r="S14" s="38">
        <v>332</v>
      </c>
      <c r="T14" s="38" t="s">
        <v>46</v>
      </c>
      <c r="U14" s="39">
        <v>329</v>
      </c>
      <c r="V14" s="129">
        <f t="shared" si="8"/>
        <v>-3</v>
      </c>
      <c r="W14" s="44">
        <v>0</v>
      </c>
      <c r="X14" s="45">
        <v>0</v>
      </c>
      <c r="Y14" s="124">
        <v>1</v>
      </c>
      <c r="Z14" s="124">
        <v>0</v>
      </c>
      <c r="AA14" s="124">
        <v>25.99</v>
      </c>
      <c r="AB14" s="124">
        <v>0</v>
      </c>
      <c r="AC14" s="130">
        <f t="shared" si="16"/>
        <v>8.6286799999999992</v>
      </c>
      <c r="AD14" s="40">
        <v>7</v>
      </c>
      <c r="AE14" s="46">
        <v>14</v>
      </c>
      <c r="AF14" s="47">
        <v>14</v>
      </c>
      <c r="AG14" s="167" t="str">
        <f t="shared" si="9"/>
        <v/>
      </c>
      <c r="AH14" s="168">
        <f t="shared" si="10"/>
        <v>-1.09158</v>
      </c>
      <c r="AI14" s="168" t="str">
        <f t="shared" si="11"/>
        <v/>
      </c>
      <c r="AJ14" s="167">
        <f t="shared" si="12"/>
        <v>-1.09158</v>
      </c>
      <c r="AK14" s="167">
        <f t="shared" si="13"/>
        <v>43971.75327999999</v>
      </c>
      <c r="AL14" s="167" t="str">
        <f t="shared" si="14"/>
        <v/>
      </c>
      <c r="AM14" s="167">
        <f t="shared" si="15"/>
        <v>397.33511999999996</v>
      </c>
    </row>
    <row r="15" spans="1:41" x14ac:dyDescent="0.25">
      <c r="A15" s="124" t="s">
        <v>268</v>
      </c>
      <c r="B15" s="124" t="s">
        <v>201</v>
      </c>
      <c r="C15" s="124" t="s">
        <v>269</v>
      </c>
      <c r="D15" s="128"/>
      <c r="E15" s="124">
        <v>1</v>
      </c>
      <c r="F15" s="128"/>
      <c r="G15" s="128"/>
      <c r="H15" s="128"/>
      <c r="I15" s="128"/>
      <c r="J15" s="141" t="s">
        <v>141</v>
      </c>
      <c r="K15" s="141" t="s">
        <v>270</v>
      </c>
      <c r="L15" s="37">
        <v>4.5</v>
      </c>
      <c r="M15" s="37"/>
      <c r="N15" s="42"/>
      <c r="O15" s="42"/>
      <c r="P15" s="42"/>
      <c r="Q15" s="42"/>
      <c r="R15" s="37">
        <v>1</v>
      </c>
      <c r="S15" s="38">
        <v>700</v>
      </c>
      <c r="T15" s="38" t="s">
        <v>46</v>
      </c>
      <c r="U15" s="39">
        <v>702</v>
      </c>
      <c r="V15" s="25">
        <f t="shared" si="8"/>
        <v>2</v>
      </c>
      <c r="W15" s="44">
        <v>3</v>
      </c>
      <c r="X15" s="45">
        <v>0</v>
      </c>
      <c r="Y15" s="124">
        <v>1</v>
      </c>
      <c r="Z15" s="124">
        <v>0</v>
      </c>
      <c r="AA15" s="124"/>
      <c r="AB15" s="124">
        <v>5.8</v>
      </c>
      <c r="AC15" s="130">
        <f t="shared" si="16"/>
        <v>5.8</v>
      </c>
      <c r="AD15" s="40">
        <v>7</v>
      </c>
      <c r="AE15" s="46">
        <v>300</v>
      </c>
      <c r="AF15" s="47">
        <v>300</v>
      </c>
      <c r="AG15" s="167">
        <f t="shared" si="9"/>
        <v>4.9714285714285715</v>
      </c>
      <c r="AH15" s="168" t="str">
        <f t="shared" si="10"/>
        <v/>
      </c>
      <c r="AI15" s="168">
        <f t="shared" si="11"/>
        <v>4.9714285714285715</v>
      </c>
      <c r="AJ15" s="167" t="str">
        <f t="shared" si="12"/>
        <v/>
      </c>
      <c r="AK15" s="167">
        <f t="shared" si="13"/>
        <v>633360</v>
      </c>
      <c r="AL15" s="167">
        <f t="shared" si="14"/>
        <v>1809.6</v>
      </c>
      <c r="AM15" s="167" t="str">
        <f t="shared" si="15"/>
        <v/>
      </c>
    </row>
    <row r="16" spans="1:41" x14ac:dyDescent="0.25">
      <c r="A16" s="124" t="s">
        <v>268</v>
      </c>
      <c r="B16" s="124" t="s">
        <v>201</v>
      </c>
      <c r="C16" s="124" t="s">
        <v>269</v>
      </c>
      <c r="D16" s="128"/>
      <c r="E16" s="124">
        <v>1</v>
      </c>
      <c r="F16" s="128"/>
      <c r="G16" s="128">
        <v>1</v>
      </c>
      <c r="H16" s="128">
        <v>1</v>
      </c>
      <c r="I16" s="128"/>
      <c r="J16" s="141" t="s">
        <v>142</v>
      </c>
      <c r="K16" s="99" t="s">
        <v>271</v>
      </c>
      <c r="L16" s="37">
        <v>4.5</v>
      </c>
      <c r="M16" s="37"/>
      <c r="N16" s="42"/>
      <c r="O16" s="42">
        <v>1</v>
      </c>
      <c r="P16" s="42"/>
      <c r="Q16" s="42"/>
      <c r="R16" s="37">
        <v>1</v>
      </c>
      <c r="S16" s="38">
        <v>600</v>
      </c>
      <c r="T16" s="38" t="s">
        <v>46</v>
      </c>
      <c r="U16" s="39">
        <v>611</v>
      </c>
      <c r="V16" s="25">
        <f t="shared" si="8"/>
        <v>11</v>
      </c>
      <c r="W16" s="44">
        <v>0</v>
      </c>
      <c r="X16" s="45">
        <v>0</v>
      </c>
      <c r="Y16" s="124">
        <v>1</v>
      </c>
      <c r="Z16" s="124">
        <v>0</v>
      </c>
      <c r="AA16" s="124"/>
      <c r="AB16" s="124">
        <v>5.5</v>
      </c>
      <c r="AC16" s="130">
        <f t="shared" si="16"/>
        <v>5.5</v>
      </c>
      <c r="AD16" s="40">
        <v>7</v>
      </c>
      <c r="AE16" s="46">
        <v>1800</v>
      </c>
      <c r="AF16" s="47">
        <v>1800</v>
      </c>
      <c r="AG16" s="167">
        <f t="shared" si="9"/>
        <v>181.5</v>
      </c>
      <c r="AH16" s="168" t="str">
        <f t="shared" si="10"/>
        <v/>
      </c>
      <c r="AI16" s="168">
        <f t="shared" si="11"/>
        <v>181.5</v>
      </c>
      <c r="AJ16" s="167" t="str">
        <f t="shared" si="12"/>
        <v/>
      </c>
      <c r="AK16" s="167">
        <f t="shared" si="13"/>
        <v>3603600</v>
      </c>
      <c r="AL16" s="167">
        <f t="shared" si="14"/>
        <v>66066</v>
      </c>
      <c r="AM16" s="167" t="str">
        <f t="shared" si="15"/>
        <v/>
      </c>
    </row>
    <row r="17" spans="1:39" x14ac:dyDescent="0.25">
      <c r="A17" s="124" t="s">
        <v>268</v>
      </c>
      <c r="B17" s="124" t="s">
        <v>201</v>
      </c>
      <c r="C17" s="124" t="s">
        <v>269</v>
      </c>
      <c r="D17" s="128"/>
      <c r="E17" s="124">
        <v>1</v>
      </c>
      <c r="F17" s="128"/>
      <c r="G17" s="128">
        <v>1</v>
      </c>
      <c r="H17" s="128">
        <v>1</v>
      </c>
      <c r="I17" s="128"/>
      <c r="J17" s="141" t="s">
        <v>141</v>
      </c>
      <c r="K17" s="42" t="s">
        <v>270</v>
      </c>
      <c r="L17" s="37">
        <v>4.5</v>
      </c>
      <c r="M17" s="37"/>
      <c r="N17" s="42"/>
      <c r="O17" s="42"/>
      <c r="P17" s="42">
        <v>1</v>
      </c>
      <c r="Q17" s="42"/>
      <c r="R17" s="37">
        <v>1</v>
      </c>
      <c r="S17" s="38">
        <v>600</v>
      </c>
      <c r="T17" s="38" t="s">
        <v>46</v>
      </c>
      <c r="U17" s="39">
        <v>577</v>
      </c>
      <c r="V17" s="25">
        <f t="shared" si="8"/>
        <v>-23</v>
      </c>
      <c r="W17" s="44">
        <v>0</v>
      </c>
      <c r="X17" s="45">
        <v>0</v>
      </c>
      <c r="Y17" s="124">
        <v>1</v>
      </c>
      <c r="Z17" s="124">
        <v>0</v>
      </c>
      <c r="AA17" s="124"/>
      <c r="AB17" s="124">
        <v>6.75</v>
      </c>
      <c r="AC17" s="130">
        <f t="shared" si="16"/>
        <v>6.75</v>
      </c>
      <c r="AD17" s="40">
        <v>5</v>
      </c>
      <c r="AE17" s="46">
        <v>1800</v>
      </c>
      <c r="AF17" s="47">
        <v>1800</v>
      </c>
      <c r="AG17" s="167" t="str">
        <f t="shared" si="9"/>
        <v/>
      </c>
      <c r="AH17" s="168">
        <f t="shared" si="10"/>
        <v>-465.74999999999994</v>
      </c>
      <c r="AI17" s="168" t="str">
        <f t="shared" si="11"/>
        <v/>
      </c>
      <c r="AJ17" s="167">
        <f t="shared" si="12"/>
        <v>-465.74999999999994</v>
      </c>
      <c r="AK17" s="167">
        <f t="shared" si="13"/>
        <v>3159000</v>
      </c>
      <c r="AL17" s="167" t="str">
        <f t="shared" si="14"/>
        <v/>
      </c>
      <c r="AM17" s="167">
        <f t="shared" si="15"/>
        <v>121094.99999999997</v>
      </c>
    </row>
    <row r="18" spans="1:39" x14ac:dyDescent="0.25">
      <c r="A18" s="124" t="s">
        <v>268</v>
      </c>
      <c r="B18" s="124" t="s">
        <v>201</v>
      </c>
      <c r="C18" s="124" t="s">
        <v>269</v>
      </c>
      <c r="D18" s="128"/>
      <c r="E18" s="124">
        <v>1</v>
      </c>
      <c r="F18" s="128"/>
      <c r="G18" s="128"/>
      <c r="H18" s="128"/>
      <c r="I18" s="128"/>
      <c r="J18" s="141" t="s">
        <v>142</v>
      </c>
      <c r="K18" s="42" t="s">
        <v>272</v>
      </c>
      <c r="L18" s="37">
        <v>4.5</v>
      </c>
      <c r="M18" s="37"/>
      <c r="N18" s="42"/>
      <c r="O18" s="42"/>
      <c r="P18" s="42">
        <v>1</v>
      </c>
      <c r="Q18" s="42"/>
      <c r="R18" s="37">
        <v>1</v>
      </c>
      <c r="S18" s="38">
        <v>700</v>
      </c>
      <c r="T18" s="38" t="s">
        <v>46</v>
      </c>
      <c r="U18" s="39">
        <v>687</v>
      </c>
      <c r="V18" s="25">
        <f t="shared" si="8"/>
        <v>-13</v>
      </c>
      <c r="W18" s="44">
        <v>0</v>
      </c>
      <c r="X18" s="45">
        <v>0</v>
      </c>
      <c r="Y18" s="124">
        <v>1</v>
      </c>
      <c r="Z18" s="124">
        <v>0</v>
      </c>
      <c r="AA18" s="124"/>
      <c r="AB18" s="124">
        <v>6.75</v>
      </c>
      <c r="AC18" s="130">
        <f t="shared" si="16"/>
        <v>6.75</v>
      </c>
      <c r="AD18" s="45">
        <v>5</v>
      </c>
      <c r="AE18" s="46">
        <v>100</v>
      </c>
      <c r="AF18" s="47">
        <v>100</v>
      </c>
      <c r="AG18" s="167" t="str">
        <f t="shared" si="9"/>
        <v/>
      </c>
      <c r="AH18" s="168">
        <f t="shared" si="10"/>
        <v>-12.535714285714286</v>
      </c>
      <c r="AI18" s="168" t="str">
        <f t="shared" si="11"/>
        <v/>
      </c>
      <c r="AJ18" s="167">
        <f t="shared" si="12"/>
        <v>-12.535714285714286</v>
      </c>
      <c r="AK18" s="167">
        <f t="shared" si="13"/>
        <v>175500</v>
      </c>
      <c r="AL18" s="167" t="str">
        <f t="shared" si="14"/>
        <v/>
      </c>
      <c r="AM18" s="167">
        <f t="shared" si="15"/>
        <v>3259.2857142857142</v>
      </c>
    </row>
    <row r="19" spans="1:39" x14ac:dyDescent="0.25">
      <c r="A19" s="124" t="s">
        <v>268</v>
      </c>
      <c r="B19" s="124" t="s">
        <v>201</v>
      </c>
      <c r="C19" s="124" t="s">
        <v>269</v>
      </c>
      <c r="D19" s="128"/>
      <c r="E19" s="124">
        <v>1</v>
      </c>
      <c r="F19" s="128"/>
      <c r="G19" s="128"/>
      <c r="H19" s="128"/>
      <c r="I19" s="128"/>
      <c r="J19" s="141" t="s">
        <v>142</v>
      </c>
      <c r="K19" s="42" t="s">
        <v>271</v>
      </c>
      <c r="L19" s="37">
        <v>4.5</v>
      </c>
      <c r="M19" s="37"/>
      <c r="N19" s="42"/>
      <c r="O19" s="42">
        <v>1</v>
      </c>
      <c r="P19" s="42"/>
      <c r="Q19" s="42"/>
      <c r="R19" s="37">
        <v>1</v>
      </c>
      <c r="S19" s="38">
        <v>700</v>
      </c>
      <c r="T19" s="38" t="s">
        <v>46</v>
      </c>
      <c r="U19" s="39">
        <v>727</v>
      </c>
      <c r="V19" s="25">
        <f t="shared" si="8"/>
        <v>27</v>
      </c>
      <c r="W19" s="44">
        <v>0</v>
      </c>
      <c r="X19" s="44">
        <v>0</v>
      </c>
      <c r="Y19" s="124">
        <v>1</v>
      </c>
      <c r="Z19" s="124">
        <v>0</v>
      </c>
      <c r="AA19" s="124"/>
      <c r="AB19" s="124">
        <v>6.75</v>
      </c>
      <c r="AC19" s="130">
        <f t="shared" si="16"/>
        <v>6.75</v>
      </c>
      <c r="AD19" s="45">
        <v>5</v>
      </c>
      <c r="AE19" s="46">
        <v>280</v>
      </c>
      <c r="AF19" s="47">
        <v>280</v>
      </c>
      <c r="AG19" s="167">
        <f t="shared" si="9"/>
        <v>72.899999999999991</v>
      </c>
      <c r="AH19" s="168" t="str">
        <f t="shared" si="10"/>
        <v/>
      </c>
      <c r="AI19" s="168">
        <f t="shared" si="11"/>
        <v>72.899999999999991</v>
      </c>
      <c r="AJ19" s="167" t="str">
        <f t="shared" si="12"/>
        <v/>
      </c>
      <c r="AK19" s="167">
        <f t="shared" si="13"/>
        <v>491400</v>
      </c>
      <c r="AL19" s="167">
        <f t="shared" si="14"/>
        <v>18953.999999999996</v>
      </c>
      <c r="AM19" s="167" t="str">
        <f t="shared" si="15"/>
        <v/>
      </c>
    </row>
    <row r="20" spans="1:39" x14ac:dyDescent="0.25">
      <c r="A20" s="124" t="s">
        <v>268</v>
      </c>
      <c r="B20" s="124" t="s">
        <v>201</v>
      </c>
      <c r="C20" s="124" t="s">
        <v>269</v>
      </c>
      <c r="D20" s="128"/>
      <c r="E20" s="124">
        <v>1</v>
      </c>
      <c r="F20" s="128"/>
      <c r="G20" s="128"/>
      <c r="H20" s="128"/>
      <c r="I20" s="128"/>
      <c r="J20" s="141" t="s">
        <v>141</v>
      </c>
      <c r="K20" s="42" t="s">
        <v>273</v>
      </c>
      <c r="L20" s="37">
        <v>4.5</v>
      </c>
      <c r="M20" s="37"/>
      <c r="N20" s="42"/>
      <c r="O20" s="42">
        <v>1</v>
      </c>
      <c r="P20" s="42"/>
      <c r="Q20" s="42"/>
      <c r="R20" s="37">
        <v>1</v>
      </c>
      <c r="S20" s="38">
        <v>700</v>
      </c>
      <c r="T20" s="38" t="s">
        <v>46</v>
      </c>
      <c r="U20" s="39">
        <v>735</v>
      </c>
      <c r="V20" s="25">
        <f t="shared" si="8"/>
        <v>35</v>
      </c>
      <c r="W20" s="44">
        <v>0</v>
      </c>
      <c r="X20" s="44">
        <v>0</v>
      </c>
      <c r="Y20" s="124">
        <v>1</v>
      </c>
      <c r="Z20" s="124">
        <v>0</v>
      </c>
      <c r="AA20" s="124"/>
      <c r="AB20" s="124">
        <v>5.8</v>
      </c>
      <c r="AC20" s="130">
        <f t="shared" si="16"/>
        <v>5.8</v>
      </c>
      <c r="AD20" s="45">
        <v>5</v>
      </c>
      <c r="AE20" s="46">
        <v>280</v>
      </c>
      <c r="AF20" s="47">
        <v>280</v>
      </c>
      <c r="AG20" s="167">
        <f t="shared" si="9"/>
        <v>81.199999999999989</v>
      </c>
      <c r="AH20" s="168" t="str">
        <f t="shared" si="10"/>
        <v/>
      </c>
      <c r="AI20" s="168">
        <f t="shared" si="11"/>
        <v>81.199999999999989</v>
      </c>
      <c r="AJ20" s="167" t="str">
        <f t="shared" si="12"/>
        <v/>
      </c>
      <c r="AK20" s="167">
        <f t="shared" si="13"/>
        <v>422240</v>
      </c>
      <c r="AL20" s="167">
        <f t="shared" si="14"/>
        <v>21111.999999999996</v>
      </c>
      <c r="AM20" s="167" t="str">
        <f t="shared" si="15"/>
        <v/>
      </c>
    </row>
    <row r="21" spans="1:39" x14ac:dyDescent="0.25">
      <c r="A21" s="128" t="s">
        <v>274</v>
      </c>
      <c r="B21" s="124" t="s">
        <v>203</v>
      </c>
      <c r="C21" s="128" t="s">
        <v>275</v>
      </c>
      <c r="D21" s="128"/>
      <c r="E21" s="124">
        <v>1</v>
      </c>
      <c r="F21" s="128"/>
      <c r="G21" s="128"/>
      <c r="H21" s="128"/>
      <c r="I21" s="128"/>
      <c r="J21" s="141" t="s">
        <v>142</v>
      </c>
      <c r="K21" s="42" t="s">
        <v>48</v>
      </c>
      <c r="L21" s="37">
        <v>4.5</v>
      </c>
      <c r="M21" s="37"/>
      <c r="N21" s="42"/>
      <c r="O21" s="42">
        <v>1</v>
      </c>
      <c r="P21" s="42"/>
      <c r="Q21" s="42"/>
      <c r="R21" s="37">
        <v>1</v>
      </c>
      <c r="S21" s="38">
        <v>500</v>
      </c>
      <c r="T21" s="38" t="s">
        <v>46</v>
      </c>
      <c r="U21" s="39">
        <v>536</v>
      </c>
      <c r="V21" s="25">
        <f t="shared" si="8"/>
        <v>36</v>
      </c>
      <c r="W21" s="44">
        <v>0</v>
      </c>
      <c r="X21" s="44">
        <v>0</v>
      </c>
      <c r="Y21" s="124">
        <v>1</v>
      </c>
      <c r="Z21" s="124">
        <v>0</v>
      </c>
      <c r="AA21" s="124"/>
      <c r="AB21" s="124">
        <v>5</v>
      </c>
      <c r="AC21" s="130">
        <f t="shared" si="16"/>
        <v>5</v>
      </c>
      <c r="AD21" s="45">
        <v>6</v>
      </c>
      <c r="AE21" s="46">
        <v>500</v>
      </c>
      <c r="AF21" s="47">
        <v>500</v>
      </c>
      <c r="AG21" s="167">
        <f t="shared" si="9"/>
        <v>180</v>
      </c>
      <c r="AH21" s="168" t="str">
        <f t="shared" si="10"/>
        <v/>
      </c>
      <c r="AI21" s="168">
        <f t="shared" si="11"/>
        <v>180</v>
      </c>
      <c r="AJ21" s="167" t="str">
        <f t="shared" si="12"/>
        <v/>
      </c>
      <c r="AK21" s="167">
        <f t="shared" si="13"/>
        <v>780000</v>
      </c>
      <c r="AL21" s="167">
        <f t="shared" si="14"/>
        <v>56160</v>
      </c>
      <c r="AM21" s="167" t="str">
        <f t="shared" si="15"/>
        <v/>
      </c>
    </row>
    <row r="22" spans="1:39" x14ac:dyDescent="0.25">
      <c r="A22" s="128" t="s">
        <v>274</v>
      </c>
      <c r="B22" s="124" t="s">
        <v>203</v>
      </c>
      <c r="C22" s="128" t="s">
        <v>275</v>
      </c>
      <c r="D22" s="128"/>
      <c r="E22" s="124">
        <v>1</v>
      </c>
      <c r="F22" s="128"/>
      <c r="G22" s="128">
        <v>1</v>
      </c>
      <c r="H22" s="128">
        <v>1</v>
      </c>
      <c r="I22" s="128"/>
      <c r="J22" s="141" t="s">
        <v>141</v>
      </c>
      <c r="K22" s="42" t="s">
        <v>204</v>
      </c>
      <c r="L22" s="37">
        <v>4.5</v>
      </c>
      <c r="M22" s="37"/>
      <c r="N22" s="42"/>
      <c r="O22" s="42">
        <v>1</v>
      </c>
      <c r="P22" s="42"/>
      <c r="Q22" s="42"/>
      <c r="R22" s="37">
        <v>1</v>
      </c>
      <c r="S22" s="38">
        <v>500</v>
      </c>
      <c r="T22" s="38" t="s">
        <v>46</v>
      </c>
      <c r="U22" s="39">
        <v>534</v>
      </c>
      <c r="V22" s="25">
        <f t="shared" si="8"/>
        <v>34</v>
      </c>
      <c r="W22" s="44">
        <v>0</v>
      </c>
      <c r="X22" s="44">
        <v>0</v>
      </c>
      <c r="Y22" s="124">
        <v>1</v>
      </c>
      <c r="Z22" s="124">
        <v>0</v>
      </c>
      <c r="AA22" s="124"/>
      <c r="AB22" s="124">
        <v>5</v>
      </c>
      <c r="AC22" s="130">
        <f t="shared" si="16"/>
        <v>5</v>
      </c>
      <c r="AD22" s="45">
        <v>6</v>
      </c>
      <c r="AE22" s="46">
        <v>500</v>
      </c>
      <c r="AF22" s="47">
        <v>500</v>
      </c>
      <c r="AG22" s="167">
        <f t="shared" si="9"/>
        <v>170</v>
      </c>
      <c r="AH22" s="168" t="str">
        <f t="shared" si="10"/>
        <v/>
      </c>
      <c r="AI22" s="168">
        <f t="shared" si="11"/>
        <v>170</v>
      </c>
      <c r="AJ22" s="167" t="str">
        <f t="shared" si="12"/>
        <v/>
      </c>
      <c r="AK22" s="167">
        <f t="shared" si="13"/>
        <v>780000</v>
      </c>
      <c r="AL22" s="167">
        <f t="shared" si="14"/>
        <v>53040</v>
      </c>
      <c r="AM22" s="167" t="str">
        <f t="shared" si="15"/>
        <v/>
      </c>
    </row>
    <row r="23" spans="1:39" x14ac:dyDescent="0.25">
      <c r="A23" s="128" t="s">
        <v>276</v>
      </c>
      <c r="B23" s="124" t="s">
        <v>42</v>
      </c>
      <c r="C23" s="128" t="s">
        <v>277</v>
      </c>
      <c r="D23" s="128"/>
      <c r="E23" s="124">
        <v>1</v>
      </c>
      <c r="F23" s="128"/>
      <c r="G23" s="128"/>
      <c r="H23" s="128"/>
      <c r="I23" s="128"/>
      <c r="J23" s="141" t="s">
        <v>141</v>
      </c>
      <c r="K23" s="42" t="s">
        <v>204</v>
      </c>
      <c r="L23" s="37">
        <v>4.3</v>
      </c>
      <c r="M23" s="37">
        <v>10</v>
      </c>
      <c r="N23" s="42"/>
      <c r="O23" s="42"/>
      <c r="P23" s="42"/>
      <c r="Q23" s="42"/>
      <c r="R23" s="37">
        <v>1</v>
      </c>
      <c r="S23" s="38">
        <v>600</v>
      </c>
      <c r="T23" s="38" t="s">
        <v>46</v>
      </c>
      <c r="U23" s="39">
        <v>611</v>
      </c>
      <c r="V23" s="25">
        <f t="shared" si="8"/>
        <v>11</v>
      </c>
      <c r="W23" s="44">
        <v>0</v>
      </c>
      <c r="X23" s="44">
        <v>0</v>
      </c>
      <c r="Y23" s="124">
        <v>1</v>
      </c>
      <c r="Z23" s="124">
        <v>0</v>
      </c>
      <c r="AA23" s="124"/>
      <c r="AB23" s="124">
        <v>4.7699999999999996</v>
      </c>
      <c r="AC23" s="130">
        <f t="shared" si="16"/>
        <v>4.7699999999999996</v>
      </c>
      <c r="AD23" s="45">
        <v>5</v>
      </c>
      <c r="AE23" s="46">
        <v>12</v>
      </c>
      <c r="AF23" s="47">
        <v>12</v>
      </c>
      <c r="AG23" s="167">
        <f t="shared" si="9"/>
        <v>1.0493999999999999</v>
      </c>
      <c r="AH23" s="168" t="str">
        <f t="shared" si="10"/>
        <v/>
      </c>
      <c r="AI23" s="168">
        <f t="shared" si="11"/>
        <v>1.0493999999999999</v>
      </c>
      <c r="AJ23" s="167" t="str">
        <f t="shared" si="12"/>
        <v/>
      </c>
      <c r="AK23" s="167">
        <f t="shared" si="13"/>
        <v>14882.4</v>
      </c>
      <c r="AL23" s="167">
        <f t="shared" si="14"/>
        <v>272.84399999999999</v>
      </c>
      <c r="AM23" s="167" t="str">
        <f t="shared" si="15"/>
        <v/>
      </c>
    </row>
    <row r="24" spans="1:39" x14ac:dyDescent="0.25">
      <c r="A24" s="128" t="s">
        <v>276</v>
      </c>
      <c r="B24" s="124" t="s">
        <v>42</v>
      </c>
      <c r="C24" s="128" t="s">
        <v>277</v>
      </c>
      <c r="D24" s="128"/>
      <c r="E24" s="124">
        <v>1</v>
      </c>
      <c r="F24" s="128"/>
      <c r="G24" s="128"/>
      <c r="H24" s="128"/>
      <c r="I24" s="128"/>
      <c r="J24" s="141" t="s">
        <v>142</v>
      </c>
      <c r="K24" s="42" t="s">
        <v>48</v>
      </c>
      <c r="L24" s="37">
        <v>4.3</v>
      </c>
      <c r="M24" s="37">
        <v>13</v>
      </c>
      <c r="N24" s="42"/>
      <c r="O24" s="42"/>
      <c r="P24" s="42"/>
      <c r="Q24" s="42"/>
      <c r="R24" s="37">
        <v>1</v>
      </c>
      <c r="S24" s="38">
        <v>600</v>
      </c>
      <c r="T24" s="38" t="s">
        <v>46</v>
      </c>
      <c r="U24" s="39">
        <v>606</v>
      </c>
      <c r="V24" s="25">
        <f t="shared" si="8"/>
        <v>6</v>
      </c>
      <c r="W24" s="44">
        <v>0</v>
      </c>
      <c r="X24" s="44">
        <v>0</v>
      </c>
      <c r="Y24" s="124">
        <v>1</v>
      </c>
      <c r="Z24" s="124">
        <v>0</v>
      </c>
      <c r="AA24" s="124"/>
      <c r="AB24" s="124">
        <v>5.99</v>
      </c>
      <c r="AC24" s="130">
        <f t="shared" si="16"/>
        <v>5.99</v>
      </c>
      <c r="AD24" s="45">
        <v>7</v>
      </c>
      <c r="AE24" s="46">
        <v>9</v>
      </c>
      <c r="AF24" s="47">
        <v>9</v>
      </c>
      <c r="AG24" s="167">
        <f t="shared" si="9"/>
        <v>0.53910000000000002</v>
      </c>
      <c r="AH24" s="168" t="str">
        <f t="shared" si="10"/>
        <v/>
      </c>
      <c r="AI24" s="168">
        <f t="shared" si="11"/>
        <v>0.53910000000000002</v>
      </c>
      <c r="AJ24" s="167" t="str">
        <f t="shared" si="12"/>
        <v/>
      </c>
      <c r="AK24" s="167">
        <f t="shared" si="13"/>
        <v>19623.240000000002</v>
      </c>
      <c r="AL24" s="167">
        <f t="shared" si="14"/>
        <v>196.23240000000001</v>
      </c>
      <c r="AM24" s="167" t="str">
        <f t="shared" si="15"/>
        <v/>
      </c>
    </row>
    <row r="25" spans="1:39" x14ac:dyDescent="0.25">
      <c r="A25" s="128" t="s">
        <v>276</v>
      </c>
      <c r="B25" s="124" t="s">
        <v>42</v>
      </c>
      <c r="C25" s="128" t="s">
        <v>277</v>
      </c>
      <c r="D25" s="128"/>
      <c r="E25" s="124">
        <v>1</v>
      </c>
      <c r="F25" s="128"/>
      <c r="G25" s="128"/>
      <c r="H25" s="128"/>
      <c r="I25" s="128"/>
      <c r="J25" s="99" t="s">
        <v>278</v>
      </c>
      <c r="K25" s="42" t="s">
        <v>279</v>
      </c>
      <c r="L25" s="37">
        <v>4.3</v>
      </c>
      <c r="M25" s="37">
        <v>10</v>
      </c>
      <c r="N25" s="42"/>
      <c r="O25" s="42"/>
      <c r="P25" s="42"/>
      <c r="Q25" s="42"/>
      <c r="R25" s="37">
        <v>1</v>
      </c>
      <c r="S25" s="38">
        <v>700</v>
      </c>
      <c r="T25" s="38" t="s">
        <v>46</v>
      </c>
      <c r="U25" s="39">
        <v>706</v>
      </c>
      <c r="V25" s="25">
        <f t="shared" si="8"/>
        <v>6</v>
      </c>
      <c r="W25" s="44">
        <v>0</v>
      </c>
      <c r="X25" s="44">
        <v>0</v>
      </c>
      <c r="Y25" s="124">
        <v>1</v>
      </c>
      <c r="Z25" s="124">
        <v>0</v>
      </c>
      <c r="AA25" s="124"/>
      <c r="AB25" s="124">
        <v>6.49</v>
      </c>
      <c r="AC25" s="130">
        <f t="shared" si="16"/>
        <v>6.49</v>
      </c>
      <c r="AD25" s="45">
        <v>7</v>
      </c>
      <c r="AE25" s="46">
        <v>15</v>
      </c>
      <c r="AF25" s="47">
        <v>15</v>
      </c>
      <c r="AG25" s="167">
        <f t="shared" si="9"/>
        <v>0.83442857142857141</v>
      </c>
      <c r="AH25" s="168" t="str">
        <f t="shared" si="10"/>
        <v/>
      </c>
      <c r="AI25" s="168">
        <f t="shared" si="11"/>
        <v>0.83442857142857141</v>
      </c>
      <c r="AJ25" s="167" t="str">
        <f t="shared" si="12"/>
        <v/>
      </c>
      <c r="AK25" s="167">
        <f t="shared" si="13"/>
        <v>35435.4</v>
      </c>
      <c r="AL25" s="167">
        <f t="shared" si="14"/>
        <v>303.73200000000003</v>
      </c>
      <c r="AM25" s="167" t="str">
        <f t="shared" si="15"/>
        <v/>
      </c>
    </row>
    <row r="26" spans="1:39" hidden="1" x14ac:dyDescent="0.25">
      <c r="A26" s="128" t="s">
        <v>276</v>
      </c>
      <c r="B26" s="124" t="s">
        <v>42</v>
      </c>
      <c r="C26" s="128" t="s">
        <v>277</v>
      </c>
      <c r="D26" s="128"/>
      <c r="E26" s="124">
        <v>1</v>
      </c>
      <c r="F26" s="128"/>
      <c r="G26" s="128">
        <v>1</v>
      </c>
      <c r="H26" s="128">
        <v>1</v>
      </c>
      <c r="I26" s="128"/>
      <c r="J26" s="99" t="s">
        <v>102</v>
      </c>
      <c r="K26" s="42" t="s">
        <v>280</v>
      </c>
      <c r="L26" s="37">
        <v>4.3</v>
      </c>
      <c r="M26" s="37">
        <v>7</v>
      </c>
      <c r="N26" s="42"/>
      <c r="O26" s="42"/>
      <c r="P26" s="42"/>
      <c r="Q26" s="42"/>
      <c r="R26" s="37">
        <v>1</v>
      </c>
      <c r="S26" s="38">
        <v>146</v>
      </c>
      <c r="T26" s="38" t="s">
        <v>46</v>
      </c>
      <c r="U26" s="39">
        <v>142</v>
      </c>
      <c r="V26" s="129">
        <f t="shared" si="8"/>
        <v>-4</v>
      </c>
      <c r="W26" s="44">
        <v>0</v>
      </c>
      <c r="X26" s="44">
        <v>0</v>
      </c>
      <c r="Y26" s="124">
        <v>1</v>
      </c>
      <c r="Z26" s="124">
        <v>0</v>
      </c>
      <c r="AA26" s="124">
        <v>49.95</v>
      </c>
      <c r="AB26" s="124">
        <v>0</v>
      </c>
      <c r="AC26" s="130">
        <f t="shared" si="16"/>
        <v>7.2927</v>
      </c>
      <c r="AD26" s="45">
        <v>7</v>
      </c>
      <c r="AE26" s="46">
        <v>7</v>
      </c>
      <c r="AF26" s="47">
        <v>7</v>
      </c>
      <c r="AG26" s="167" t="str">
        <f t="shared" si="9"/>
        <v/>
      </c>
      <c r="AH26" s="168">
        <f t="shared" si="10"/>
        <v>-1.3986000000000001</v>
      </c>
      <c r="AI26" s="168" t="str">
        <f t="shared" si="11"/>
        <v/>
      </c>
      <c r="AJ26" s="167">
        <f t="shared" si="12"/>
        <v>-1.3986000000000001</v>
      </c>
      <c r="AK26" s="167">
        <f t="shared" si="13"/>
        <v>18581.799600000002</v>
      </c>
      <c r="AL26" s="167" t="str">
        <f t="shared" si="14"/>
        <v/>
      </c>
      <c r="AM26" s="167">
        <f t="shared" si="15"/>
        <v>509.09040000000005</v>
      </c>
    </row>
    <row r="27" spans="1:39" hidden="1" x14ac:dyDescent="0.25">
      <c r="A27" s="128" t="s">
        <v>276</v>
      </c>
      <c r="B27" s="124" t="s">
        <v>42</v>
      </c>
      <c r="C27" s="128" t="s">
        <v>277</v>
      </c>
      <c r="D27" s="128"/>
      <c r="E27" s="124">
        <v>1</v>
      </c>
      <c r="F27" s="128"/>
      <c r="G27" s="128"/>
      <c r="H27" s="128"/>
      <c r="I27" s="128"/>
      <c r="J27" s="99" t="s">
        <v>168</v>
      </c>
      <c r="K27" s="42" t="s">
        <v>281</v>
      </c>
      <c r="L27" s="37">
        <v>4.3</v>
      </c>
      <c r="M27" s="37">
        <v>11</v>
      </c>
      <c r="N27" s="42"/>
      <c r="O27" s="42"/>
      <c r="P27" s="42"/>
      <c r="Q27" s="42"/>
      <c r="R27" s="37">
        <v>1</v>
      </c>
      <c r="S27" s="38">
        <v>533</v>
      </c>
      <c r="T27" s="38" t="s">
        <v>46</v>
      </c>
      <c r="U27" s="39">
        <v>547</v>
      </c>
      <c r="V27" s="129">
        <f t="shared" si="8"/>
        <v>14</v>
      </c>
      <c r="W27" s="44">
        <v>0</v>
      </c>
      <c r="X27" s="44">
        <v>0</v>
      </c>
      <c r="Y27" s="124">
        <v>1</v>
      </c>
      <c r="Z27" s="124">
        <v>0</v>
      </c>
      <c r="AA27" s="124">
        <v>49.9</v>
      </c>
      <c r="AB27" s="124"/>
      <c r="AC27" s="130">
        <f t="shared" si="16"/>
        <v>26.596699999999998</v>
      </c>
      <c r="AD27" s="45">
        <v>7</v>
      </c>
      <c r="AE27" s="46">
        <v>11</v>
      </c>
      <c r="AF27" s="47">
        <v>11</v>
      </c>
      <c r="AG27" s="167">
        <f t="shared" si="9"/>
        <v>7.6845999999999997</v>
      </c>
      <c r="AH27" s="168" t="str">
        <f t="shared" si="10"/>
        <v/>
      </c>
      <c r="AI27" s="168">
        <f t="shared" si="11"/>
        <v>7.6845999999999997</v>
      </c>
      <c r="AJ27" s="167" t="str">
        <f t="shared" si="12"/>
        <v/>
      </c>
      <c r="AK27" s="167">
        <f t="shared" si="13"/>
        <v>106493.1868</v>
      </c>
      <c r="AL27" s="167">
        <f t="shared" si="14"/>
        <v>2797.1943999999999</v>
      </c>
      <c r="AM27" s="167" t="str">
        <f t="shared" si="15"/>
        <v/>
      </c>
    </row>
    <row r="28" spans="1:39" hidden="1" x14ac:dyDescent="0.25">
      <c r="A28" s="128" t="s">
        <v>276</v>
      </c>
      <c r="B28" s="124" t="s">
        <v>42</v>
      </c>
      <c r="C28" s="128" t="s">
        <v>277</v>
      </c>
      <c r="D28" s="128"/>
      <c r="E28" s="124">
        <v>1</v>
      </c>
      <c r="F28" s="128"/>
      <c r="G28" s="128"/>
      <c r="H28" s="128"/>
      <c r="I28" s="128"/>
      <c r="J28" s="99" t="s">
        <v>166</v>
      </c>
      <c r="K28" s="42" t="s">
        <v>282</v>
      </c>
      <c r="L28" s="37">
        <v>4.3</v>
      </c>
      <c r="M28" s="37">
        <v>14</v>
      </c>
      <c r="N28" s="42"/>
      <c r="O28" s="42"/>
      <c r="P28" s="42"/>
      <c r="Q28" s="42"/>
      <c r="R28" s="37">
        <v>1</v>
      </c>
      <c r="S28" s="38">
        <v>338</v>
      </c>
      <c r="T28" s="38" t="s">
        <v>46</v>
      </c>
      <c r="U28" s="39">
        <v>353</v>
      </c>
      <c r="V28" s="129">
        <f t="shared" si="8"/>
        <v>15</v>
      </c>
      <c r="W28" s="44">
        <v>0</v>
      </c>
      <c r="X28" s="44">
        <v>0</v>
      </c>
      <c r="Y28" s="124">
        <v>1</v>
      </c>
      <c r="Z28" s="124">
        <v>0</v>
      </c>
      <c r="AA28" s="124">
        <v>57.99</v>
      </c>
      <c r="AB28" s="124"/>
      <c r="AC28" s="130">
        <f t="shared" si="16"/>
        <v>19.600619999999999</v>
      </c>
      <c r="AD28" s="45">
        <v>7</v>
      </c>
      <c r="AE28" s="46">
        <v>14</v>
      </c>
      <c r="AF28" s="47">
        <v>14</v>
      </c>
      <c r="AG28" s="167">
        <f t="shared" si="9"/>
        <v>12.177900000000001</v>
      </c>
      <c r="AH28" s="168" t="str">
        <f t="shared" si="10"/>
        <v/>
      </c>
      <c r="AI28" s="168">
        <f t="shared" si="11"/>
        <v>12.177900000000001</v>
      </c>
      <c r="AJ28" s="167" t="str">
        <f t="shared" si="12"/>
        <v/>
      </c>
      <c r="AK28" s="167">
        <f t="shared" si="13"/>
        <v>99884.759520000007</v>
      </c>
      <c r="AL28" s="167">
        <f t="shared" si="14"/>
        <v>4432.7556000000004</v>
      </c>
      <c r="AM28" s="167" t="str">
        <f t="shared" si="15"/>
        <v/>
      </c>
    </row>
    <row r="29" spans="1:39" hidden="1" x14ac:dyDescent="0.25">
      <c r="A29" s="128" t="s">
        <v>276</v>
      </c>
      <c r="B29" s="124" t="s">
        <v>42</v>
      </c>
      <c r="C29" s="128" t="s">
        <v>277</v>
      </c>
      <c r="D29" s="128"/>
      <c r="E29" s="124">
        <v>1</v>
      </c>
      <c r="F29" s="128"/>
      <c r="G29" s="128"/>
      <c r="H29" s="128"/>
      <c r="I29" s="128"/>
      <c r="J29" s="99" t="s">
        <v>168</v>
      </c>
      <c r="K29" s="42" t="s">
        <v>283</v>
      </c>
      <c r="L29" s="37">
        <v>4.3</v>
      </c>
      <c r="M29" s="37">
        <v>9</v>
      </c>
      <c r="N29" s="42"/>
      <c r="O29" s="42"/>
      <c r="P29" s="42"/>
      <c r="Q29" s="42"/>
      <c r="R29" s="37">
        <v>1</v>
      </c>
      <c r="S29" s="38">
        <v>281</v>
      </c>
      <c r="T29" s="38" t="s">
        <v>46</v>
      </c>
      <c r="U29" s="39">
        <v>296</v>
      </c>
      <c r="V29" s="129">
        <f t="shared" si="8"/>
        <v>15</v>
      </c>
      <c r="W29" s="44">
        <v>0</v>
      </c>
      <c r="X29" s="45">
        <v>0</v>
      </c>
      <c r="Y29" s="124">
        <v>1</v>
      </c>
      <c r="Z29" s="124">
        <v>0</v>
      </c>
      <c r="AA29" s="124">
        <v>59.98</v>
      </c>
      <c r="AB29" s="124"/>
      <c r="AC29" s="130">
        <f t="shared" si="16"/>
        <v>16.854379999999999</v>
      </c>
      <c r="AD29" s="45">
        <v>7</v>
      </c>
      <c r="AE29" s="46">
        <v>9</v>
      </c>
      <c r="AF29" s="47">
        <v>9</v>
      </c>
      <c r="AG29" s="167">
        <f t="shared" si="9"/>
        <v>8.0972999999999988</v>
      </c>
      <c r="AH29" s="168" t="str">
        <f t="shared" si="10"/>
        <v/>
      </c>
      <c r="AI29" s="168">
        <f t="shared" si="11"/>
        <v>8.0972999999999988</v>
      </c>
      <c r="AJ29" s="167" t="str">
        <f t="shared" si="12"/>
        <v/>
      </c>
      <c r="AK29" s="167">
        <f t="shared" si="13"/>
        <v>55214.948879999996</v>
      </c>
      <c r="AL29" s="167">
        <f t="shared" si="14"/>
        <v>2947.4171999999999</v>
      </c>
      <c r="AM29" s="167" t="str">
        <f t="shared" si="15"/>
        <v/>
      </c>
    </row>
    <row r="30" spans="1:39" hidden="1" x14ac:dyDescent="0.25">
      <c r="A30" s="128" t="s">
        <v>276</v>
      </c>
      <c r="B30" s="124" t="s">
        <v>42</v>
      </c>
      <c r="C30" s="128" t="s">
        <v>277</v>
      </c>
      <c r="D30" s="128"/>
      <c r="E30" s="124">
        <v>1</v>
      </c>
      <c r="F30" s="128"/>
      <c r="G30" s="128"/>
      <c r="H30" s="128"/>
      <c r="I30" s="128"/>
      <c r="J30" s="99" t="s">
        <v>169</v>
      </c>
      <c r="K30" s="42" t="s">
        <v>284</v>
      </c>
      <c r="L30" s="37">
        <v>4.3</v>
      </c>
      <c r="M30" s="37">
        <v>13</v>
      </c>
      <c r="N30" s="42"/>
      <c r="O30" s="42"/>
      <c r="P30" s="42"/>
      <c r="Q30" s="42"/>
      <c r="R30" s="37">
        <v>1</v>
      </c>
      <c r="S30" s="38">
        <v>258</v>
      </c>
      <c r="T30" s="38" t="s">
        <v>46</v>
      </c>
      <c r="U30" s="39">
        <v>273</v>
      </c>
      <c r="V30" s="129">
        <f t="shared" si="8"/>
        <v>15</v>
      </c>
      <c r="W30" s="44">
        <v>0</v>
      </c>
      <c r="X30" s="44">
        <v>0</v>
      </c>
      <c r="Y30" s="124">
        <v>1</v>
      </c>
      <c r="Z30" s="124">
        <v>0</v>
      </c>
      <c r="AA30" s="124">
        <v>57.99</v>
      </c>
      <c r="AB30" s="124"/>
      <c r="AC30" s="130">
        <f t="shared" si="16"/>
        <v>14.96142</v>
      </c>
      <c r="AD30" s="45">
        <v>7</v>
      </c>
      <c r="AE30" s="46">
        <v>13</v>
      </c>
      <c r="AF30" s="47">
        <v>13</v>
      </c>
      <c r="AG30" s="167">
        <f t="shared" si="9"/>
        <v>11.30805</v>
      </c>
      <c r="AH30" s="168" t="str">
        <f t="shared" si="10"/>
        <v/>
      </c>
      <c r="AI30" s="168">
        <f t="shared" si="11"/>
        <v>11.30805</v>
      </c>
      <c r="AJ30" s="167" t="str">
        <f t="shared" si="12"/>
        <v/>
      </c>
      <c r="AK30" s="167">
        <f t="shared" si="13"/>
        <v>70797.439440000002</v>
      </c>
      <c r="AL30" s="167">
        <f t="shared" si="14"/>
        <v>4116.1302000000005</v>
      </c>
      <c r="AM30" s="167" t="str">
        <f t="shared" si="15"/>
        <v/>
      </c>
    </row>
    <row r="31" spans="1:39" x14ac:dyDescent="0.25">
      <c r="A31" s="128" t="s">
        <v>285</v>
      </c>
      <c r="B31" s="124" t="s">
        <v>42</v>
      </c>
      <c r="C31" s="128" t="s">
        <v>277</v>
      </c>
      <c r="D31" s="128"/>
      <c r="E31" s="124">
        <v>1</v>
      </c>
      <c r="F31" s="128"/>
      <c r="G31" s="128"/>
      <c r="H31" s="128"/>
      <c r="I31" s="128"/>
      <c r="J31" s="141" t="s">
        <v>141</v>
      </c>
      <c r="K31" s="42" t="s">
        <v>204</v>
      </c>
      <c r="L31" s="37">
        <v>4.3</v>
      </c>
      <c r="M31" s="37">
        <v>20</v>
      </c>
      <c r="N31" s="42"/>
      <c r="O31" s="42"/>
      <c r="P31" s="42"/>
      <c r="Q31" s="42"/>
      <c r="R31" s="37">
        <v>1</v>
      </c>
      <c r="S31" s="38">
        <v>700</v>
      </c>
      <c r="T31" s="38" t="s">
        <v>46</v>
      </c>
      <c r="U31" s="39">
        <v>718</v>
      </c>
      <c r="V31" s="25">
        <f t="shared" si="8"/>
        <v>18</v>
      </c>
      <c r="W31" s="44">
        <v>0</v>
      </c>
      <c r="X31" s="44">
        <v>0</v>
      </c>
      <c r="Y31" s="124">
        <v>1</v>
      </c>
      <c r="Z31" s="124">
        <v>0</v>
      </c>
      <c r="AA31" s="124">
        <v>5</v>
      </c>
      <c r="AB31" s="124"/>
      <c r="AC31" s="130">
        <f t="shared" si="16"/>
        <v>3.5</v>
      </c>
      <c r="AD31" s="45">
        <v>7</v>
      </c>
      <c r="AE31" s="46">
        <v>20</v>
      </c>
      <c r="AF31" s="47">
        <v>20</v>
      </c>
      <c r="AG31" s="167">
        <f t="shared" si="9"/>
        <v>1.7999999999999998</v>
      </c>
      <c r="AH31" s="168" t="str">
        <f t="shared" si="10"/>
        <v/>
      </c>
      <c r="AI31" s="168">
        <f t="shared" si="11"/>
        <v>1.7999999999999998</v>
      </c>
      <c r="AJ31" s="167" t="str">
        <f t="shared" si="12"/>
        <v/>
      </c>
      <c r="AK31" s="167">
        <f t="shared" si="13"/>
        <v>25480</v>
      </c>
      <c r="AL31" s="167">
        <f t="shared" si="14"/>
        <v>655.19999999999993</v>
      </c>
      <c r="AM31" s="167" t="str">
        <f t="shared" si="15"/>
        <v/>
      </c>
    </row>
    <row r="32" spans="1:39" x14ac:dyDescent="0.25">
      <c r="A32" s="128" t="s">
        <v>285</v>
      </c>
      <c r="B32" s="124" t="s">
        <v>42</v>
      </c>
      <c r="C32" s="128" t="s">
        <v>286</v>
      </c>
      <c r="D32" s="128"/>
      <c r="E32" s="124">
        <v>1</v>
      </c>
      <c r="F32" s="128"/>
      <c r="G32" s="128"/>
      <c r="H32" s="128"/>
      <c r="I32" s="128"/>
      <c r="J32" s="141" t="s">
        <v>142</v>
      </c>
      <c r="K32" s="42" t="s">
        <v>48</v>
      </c>
      <c r="L32" s="37">
        <v>4.3</v>
      </c>
      <c r="M32" s="37">
        <v>10</v>
      </c>
      <c r="N32" s="42"/>
      <c r="O32" s="42"/>
      <c r="P32" s="42"/>
      <c r="Q32" s="42"/>
      <c r="R32" s="37">
        <v>1</v>
      </c>
      <c r="S32" s="38">
        <v>700</v>
      </c>
      <c r="T32" s="38" t="s">
        <v>46</v>
      </c>
      <c r="U32" s="39">
        <v>733</v>
      </c>
      <c r="V32" s="25">
        <f t="shared" si="8"/>
        <v>33</v>
      </c>
      <c r="W32" s="44">
        <v>0</v>
      </c>
      <c r="X32" s="44">
        <v>0</v>
      </c>
      <c r="Y32" s="124">
        <v>1</v>
      </c>
      <c r="Z32" s="124">
        <v>0</v>
      </c>
      <c r="AA32" s="124">
        <v>5.5</v>
      </c>
      <c r="AB32" s="124"/>
      <c r="AC32" s="130">
        <f t="shared" si="16"/>
        <v>3.8499999999999996</v>
      </c>
      <c r="AD32" s="45">
        <v>7</v>
      </c>
      <c r="AE32" s="46">
        <v>10</v>
      </c>
      <c r="AF32" s="47">
        <v>10</v>
      </c>
      <c r="AG32" s="167">
        <f t="shared" si="9"/>
        <v>1.8149999999999999</v>
      </c>
      <c r="AH32" s="168" t="str">
        <f t="shared" si="10"/>
        <v/>
      </c>
      <c r="AI32" s="168">
        <f t="shared" si="11"/>
        <v>1.8149999999999999</v>
      </c>
      <c r="AJ32" s="167" t="str">
        <f t="shared" si="12"/>
        <v/>
      </c>
      <c r="AK32" s="167">
        <f t="shared" si="13"/>
        <v>14014</v>
      </c>
      <c r="AL32" s="167">
        <f t="shared" si="14"/>
        <v>660.66</v>
      </c>
      <c r="AM32" s="167" t="str">
        <f t="shared" si="15"/>
        <v/>
      </c>
    </row>
    <row r="33" spans="1:39" hidden="1" x14ac:dyDescent="0.25">
      <c r="A33" s="128" t="s">
        <v>285</v>
      </c>
      <c r="B33" s="124" t="s">
        <v>42</v>
      </c>
      <c r="C33" s="128" t="s">
        <v>287</v>
      </c>
      <c r="D33" s="128"/>
      <c r="E33" s="124">
        <v>1</v>
      </c>
      <c r="F33" s="128"/>
      <c r="G33" s="128">
        <v>1</v>
      </c>
      <c r="H33" s="128">
        <v>1</v>
      </c>
      <c r="I33" s="128"/>
      <c r="J33" s="99" t="s">
        <v>170</v>
      </c>
      <c r="K33" s="42" t="s">
        <v>288</v>
      </c>
      <c r="L33" s="37">
        <v>4.3</v>
      </c>
      <c r="M33" s="37">
        <v>4</v>
      </c>
      <c r="N33" s="42"/>
      <c r="O33" s="42"/>
      <c r="P33" s="42"/>
      <c r="Q33" s="42"/>
      <c r="R33" s="37">
        <v>1</v>
      </c>
      <c r="S33" s="38">
        <v>2463</v>
      </c>
      <c r="T33" s="38" t="s">
        <v>46</v>
      </c>
      <c r="U33" s="39">
        <v>2427.5</v>
      </c>
      <c r="V33" s="129">
        <f t="shared" si="8"/>
        <v>-35.5</v>
      </c>
      <c r="W33" s="44">
        <v>0</v>
      </c>
      <c r="X33" s="44">
        <v>0</v>
      </c>
      <c r="Y33" s="124">
        <v>1</v>
      </c>
      <c r="Z33" s="124">
        <v>0</v>
      </c>
      <c r="AA33" s="124">
        <v>29.99</v>
      </c>
      <c r="AB33" s="124"/>
      <c r="AC33" s="130">
        <f t="shared" si="16"/>
        <v>73.865369999999999</v>
      </c>
      <c r="AD33" s="45">
        <v>7</v>
      </c>
      <c r="AE33" s="46">
        <v>4</v>
      </c>
      <c r="AF33" s="47">
        <v>4</v>
      </c>
      <c r="AG33" s="167" t="str">
        <f t="shared" si="9"/>
        <v/>
      </c>
      <c r="AH33" s="168">
        <f t="shared" si="10"/>
        <v>-4.2585800000000003</v>
      </c>
      <c r="AI33" s="168" t="str">
        <f t="shared" si="11"/>
        <v/>
      </c>
      <c r="AJ33" s="167">
        <f t="shared" si="12"/>
        <v>-4.2585800000000003</v>
      </c>
      <c r="AK33" s="167">
        <f t="shared" si="13"/>
        <v>107547.97872</v>
      </c>
      <c r="AL33" s="167" t="str">
        <f t="shared" si="14"/>
        <v/>
      </c>
      <c r="AM33" s="167">
        <f t="shared" si="15"/>
        <v>1550.12312</v>
      </c>
    </row>
    <row r="34" spans="1:39" hidden="1" x14ac:dyDescent="0.25">
      <c r="A34" s="128" t="s">
        <v>285</v>
      </c>
      <c r="B34" s="124" t="s">
        <v>42</v>
      </c>
      <c r="C34" s="128" t="s">
        <v>287</v>
      </c>
      <c r="D34" s="128"/>
      <c r="E34" s="124">
        <v>1</v>
      </c>
      <c r="F34" s="128"/>
      <c r="G34" s="128">
        <v>1</v>
      </c>
      <c r="H34" s="128">
        <v>1</v>
      </c>
      <c r="I34" s="128"/>
      <c r="J34" s="99" t="s">
        <v>166</v>
      </c>
      <c r="K34" s="42" t="s">
        <v>289</v>
      </c>
      <c r="L34" s="37">
        <v>4.3</v>
      </c>
      <c r="M34" s="37">
        <v>10</v>
      </c>
      <c r="N34" s="42"/>
      <c r="O34" s="42"/>
      <c r="P34" s="42"/>
      <c r="Q34" s="42"/>
      <c r="R34" s="37">
        <v>1</v>
      </c>
      <c r="S34" s="38">
        <v>430</v>
      </c>
      <c r="T34" s="38" t="s">
        <v>46</v>
      </c>
      <c r="U34" s="39">
        <v>421</v>
      </c>
      <c r="V34" s="129">
        <f t="shared" si="8"/>
        <v>-9</v>
      </c>
      <c r="W34" s="44">
        <v>0</v>
      </c>
      <c r="X34" s="44">
        <v>0</v>
      </c>
      <c r="Y34" s="124">
        <v>1</v>
      </c>
      <c r="Z34" s="124">
        <v>0</v>
      </c>
      <c r="AA34" s="124">
        <v>43.99</v>
      </c>
      <c r="AB34" s="124"/>
      <c r="AC34" s="130">
        <f t="shared" si="16"/>
        <v>18.915700000000001</v>
      </c>
      <c r="AD34" s="45">
        <v>7</v>
      </c>
      <c r="AE34" s="46">
        <v>10</v>
      </c>
      <c r="AF34" s="47">
        <v>10</v>
      </c>
      <c r="AG34" s="167" t="str">
        <f t="shared" si="9"/>
        <v/>
      </c>
      <c r="AH34" s="168">
        <f t="shared" si="10"/>
        <v>-3.9590999999999998</v>
      </c>
      <c r="AI34" s="168" t="str">
        <f t="shared" si="11"/>
        <v/>
      </c>
      <c r="AJ34" s="167">
        <f t="shared" si="12"/>
        <v>-3.9590999999999998</v>
      </c>
      <c r="AK34" s="167">
        <f t="shared" si="13"/>
        <v>68853.148000000016</v>
      </c>
      <c r="AL34" s="167" t="str">
        <f t="shared" si="14"/>
        <v/>
      </c>
      <c r="AM34" s="167">
        <f t="shared" si="15"/>
        <v>1441.1124</v>
      </c>
    </row>
    <row r="35" spans="1:39" hidden="1" x14ac:dyDescent="0.25">
      <c r="A35" s="128" t="s">
        <v>285</v>
      </c>
      <c r="B35" s="124" t="s">
        <v>42</v>
      </c>
      <c r="C35" s="128" t="s">
        <v>287</v>
      </c>
      <c r="D35" s="128"/>
      <c r="E35" s="124">
        <v>1</v>
      </c>
      <c r="F35" s="128"/>
      <c r="G35" s="128">
        <v>1</v>
      </c>
      <c r="H35" s="128">
        <v>1</v>
      </c>
      <c r="I35" s="128"/>
      <c r="J35" s="99" t="s">
        <v>169</v>
      </c>
      <c r="K35" s="42" t="s">
        <v>290</v>
      </c>
      <c r="L35" s="37">
        <v>4.3</v>
      </c>
      <c r="M35" s="37">
        <v>11</v>
      </c>
      <c r="N35" s="42"/>
      <c r="O35" s="42"/>
      <c r="P35" s="42"/>
      <c r="Q35" s="42"/>
      <c r="R35" s="37">
        <v>1</v>
      </c>
      <c r="S35" s="38">
        <v>685</v>
      </c>
      <c r="T35" s="38" t="s">
        <v>46</v>
      </c>
      <c r="U35" s="39">
        <v>676</v>
      </c>
      <c r="V35" s="129">
        <f t="shared" si="8"/>
        <v>-9</v>
      </c>
      <c r="W35" s="44">
        <v>0</v>
      </c>
      <c r="X35" s="45">
        <v>0</v>
      </c>
      <c r="Y35" s="124">
        <v>1</v>
      </c>
      <c r="Z35" s="124">
        <v>0</v>
      </c>
      <c r="AA35" s="124">
        <v>34.950000000000003</v>
      </c>
      <c r="AB35" s="124"/>
      <c r="AC35" s="130">
        <f t="shared" si="16"/>
        <v>23.940750000000001</v>
      </c>
      <c r="AD35" s="45">
        <v>7</v>
      </c>
      <c r="AE35" s="46">
        <v>11</v>
      </c>
      <c r="AF35" s="47">
        <v>11</v>
      </c>
      <c r="AG35" s="167" t="str">
        <f t="shared" si="9"/>
        <v/>
      </c>
      <c r="AH35" s="168">
        <f t="shared" si="10"/>
        <v>-3.4600499999999998</v>
      </c>
      <c r="AI35" s="168" t="str">
        <f t="shared" si="11"/>
        <v/>
      </c>
      <c r="AJ35" s="167">
        <f t="shared" si="12"/>
        <v>-3.4600499999999998</v>
      </c>
      <c r="AK35" s="167">
        <f t="shared" si="13"/>
        <v>95858.763000000006</v>
      </c>
      <c r="AL35" s="167" t="str">
        <f t="shared" si="14"/>
        <v/>
      </c>
      <c r="AM35" s="167">
        <f t="shared" si="15"/>
        <v>1259.4582</v>
      </c>
    </row>
    <row r="36" spans="1:39" hidden="1" x14ac:dyDescent="0.25">
      <c r="A36" s="128" t="s">
        <v>285</v>
      </c>
      <c r="B36" s="124" t="s">
        <v>42</v>
      </c>
      <c r="C36" s="128" t="s">
        <v>287</v>
      </c>
      <c r="D36" s="128"/>
      <c r="E36" s="124">
        <v>1</v>
      </c>
      <c r="F36" s="128"/>
      <c r="G36" s="128">
        <v>1</v>
      </c>
      <c r="H36" s="128">
        <v>1</v>
      </c>
      <c r="I36" s="128"/>
      <c r="J36" s="133" t="s">
        <v>92</v>
      </c>
      <c r="K36" s="99" t="s">
        <v>291</v>
      </c>
      <c r="L36" s="37">
        <v>4.3</v>
      </c>
      <c r="M36" s="37">
        <v>11</v>
      </c>
      <c r="N36" s="42"/>
      <c r="O36" s="42"/>
      <c r="P36" s="42"/>
      <c r="Q36" s="42"/>
      <c r="R36" s="37">
        <v>1</v>
      </c>
      <c r="S36" s="38">
        <v>205</v>
      </c>
      <c r="T36" s="38" t="s">
        <v>46</v>
      </c>
      <c r="U36" s="39">
        <v>200</v>
      </c>
      <c r="V36" s="129">
        <f t="shared" si="8"/>
        <v>-5</v>
      </c>
      <c r="W36" s="44">
        <v>0</v>
      </c>
      <c r="X36" s="45">
        <v>0</v>
      </c>
      <c r="Y36" s="124">
        <v>1</v>
      </c>
      <c r="Z36" s="124">
        <v>0</v>
      </c>
      <c r="AA36" s="124">
        <v>18.989999999999998</v>
      </c>
      <c r="AB36" s="124"/>
      <c r="AC36" s="130">
        <f t="shared" si="16"/>
        <v>3.8929499999999999</v>
      </c>
      <c r="AD36" s="45">
        <v>7</v>
      </c>
      <c r="AE36" s="46">
        <v>9</v>
      </c>
      <c r="AF36" s="47">
        <v>9</v>
      </c>
      <c r="AG36" s="167" t="str">
        <f t="shared" si="9"/>
        <v/>
      </c>
      <c r="AH36" s="168">
        <f t="shared" si="10"/>
        <v>-0.85455000000000003</v>
      </c>
      <c r="AI36" s="168" t="str">
        <f t="shared" si="11"/>
        <v/>
      </c>
      <c r="AJ36" s="167">
        <f t="shared" si="12"/>
        <v>-0.85455000000000003</v>
      </c>
      <c r="AK36" s="167">
        <f t="shared" si="13"/>
        <v>12753.304199999999</v>
      </c>
      <c r="AL36" s="167" t="str">
        <f t="shared" si="14"/>
        <v/>
      </c>
      <c r="AM36" s="167">
        <f t="shared" si="15"/>
        <v>311.05620000000005</v>
      </c>
    </row>
    <row r="37" spans="1:39" hidden="1" x14ac:dyDescent="0.25">
      <c r="A37" s="128" t="s">
        <v>285</v>
      </c>
      <c r="B37" s="124" t="s">
        <v>42</v>
      </c>
      <c r="C37" s="128" t="s">
        <v>287</v>
      </c>
      <c r="D37" s="128"/>
      <c r="E37" s="124">
        <v>1</v>
      </c>
      <c r="F37" s="128"/>
      <c r="G37" s="128">
        <v>1</v>
      </c>
      <c r="H37" s="128">
        <v>1</v>
      </c>
      <c r="I37" s="128"/>
      <c r="J37" s="133" t="s">
        <v>92</v>
      </c>
      <c r="K37" s="99" t="s">
        <v>292</v>
      </c>
      <c r="L37" s="37">
        <v>4.3</v>
      </c>
      <c r="M37" s="37">
        <v>11</v>
      </c>
      <c r="N37" s="42"/>
      <c r="O37" s="42"/>
      <c r="P37" s="42"/>
      <c r="Q37" s="42"/>
      <c r="R37" s="37">
        <v>1</v>
      </c>
      <c r="S37" s="38">
        <v>876</v>
      </c>
      <c r="T37" s="38" t="s">
        <v>46</v>
      </c>
      <c r="U37" s="39">
        <v>863</v>
      </c>
      <c r="V37" s="129">
        <f t="shared" si="8"/>
        <v>-13</v>
      </c>
      <c r="W37" s="44">
        <v>0</v>
      </c>
      <c r="X37" s="44">
        <v>0</v>
      </c>
      <c r="Y37" s="124">
        <v>1</v>
      </c>
      <c r="Z37" s="124">
        <v>0</v>
      </c>
      <c r="AA37" s="124">
        <v>13.95</v>
      </c>
      <c r="AB37" s="124"/>
      <c r="AC37" s="130">
        <f t="shared" si="16"/>
        <v>12.220199999999998</v>
      </c>
      <c r="AD37" s="45">
        <v>7</v>
      </c>
      <c r="AE37" s="46">
        <v>11</v>
      </c>
      <c r="AF37" s="47">
        <v>11</v>
      </c>
      <c r="AG37" s="167" t="str">
        <f t="shared" si="9"/>
        <v/>
      </c>
      <c r="AH37" s="168">
        <f t="shared" si="10"/>
        <v>-1.9948499999999998</v>
      </c>
      <c r="AI37" s="168" t="str">
        <f t="shared" si="11"/>
        <v/>
      </c>
      <c r="AJ37" s="167">
        <f t="shared" si="12"/>
        <v>-1.9948499999999998</v>
      </c>
      <c r="AK37" s="167">
        <f t="shared" si="13"/>
        <v>48929.680799999987</v>
      </c>
      <c r="AL37" s="167" t="str">
        <f t="shared" si="14"/>
        <v/>
      </c>
      <c r="AM37" s="167">
        <f t="shared" si="15"/>
        <v>726.1253999999999</v>
      </c>
    </row>
    <row r="38" spans="1:39" hidden="1" x14ac:dyDescent="0.25">
      <c r="A38" s="128" t="s">
        <v>285</v>
      </c>
      <c r="B38" s="124" t="s">
        <v>42</v>
      </c>
      <c r="C38" s="128" t="s">
        <v>287</v>
      </c>
      <c r="D38" s="128"/>
      <c r="E38" s="124">
        <v>1</v>
      </c>
      <c r="F38" s="128"/>
      <c r="G38" s="128">
        <v>1</v>
      </c>
      <c r="H38" s="128">
        <v>1</v>
      </c>
      <c r="I38" s="128"/>
      <c r="J38" s="133" t="s">
        <v>192</v>
      </c>
      <c r="K38" s="99" t="s">
        <v>293</v>
      </c>
      <c r="L38" s="37">
        <v>4.3</v>
      </c>
      <c r="M38" s="37">
        <v>9</v>
      </c>
      <c r="N38" s="42"/>
      <c r="O38" s="42"/>
      <c r="P38" s="42"/>
      <c r="Q38" s="42"/>
      <c r="R38" s="37">
        <v>1</v>
      </c>
      <c r="S38" s="38">
        <v>702</v>
      </c>
      <c r="T38" s="38" t="s">
        <v>46</v>
      </c>
      <c r="U38" s="39">
        <v>690</v>
      </c>
      <c r="V38" s="129">
        <f>-S37+U37</f>
        <v>-13</v>
      </c>
      <c r="W38" s="44">
        <v>0</v>
      </c>
      <c r="X38" s="44">
        <v>0</v>
      </c>
      <c r="Y38" s="124">
        <v>1</v>
      </c>
      <c r="Z38" s="124">
        <v>0</v>
      </c>
      <c r="AA38" s="124">
        <v>19.989999999999998</v>
      </c>
      <c r="AB38" s="124"/>
      <c r="AC38" s="130">
        <f>IF(AA38&gt;0,AA38/1000*S37/R38,AB38)</f>
        <v>17.511239999999997</v>
      </c>
      <c r="AD38" s="45">
        <v>7</v>
      </c>
      <c r="AE38" s="46">
        <v>11</v>
      </c>
      <c r="AF38" s="47">
        <v>11</v>
      </c>
      <c r="AG38" s="167" t="str">
        <f t="shared" si="9"/>
        <v/>
      </c>
      <c r="AH38" s="168">
        <f t="shared" si="10"/>
        <v>-3.5671044444444435</v>
      </c>
      <c r="AI38" s="168" t="str">
        <f t="shared" si="11"/>
        <v/>
      </c>
      <c r="AJ38" s="167">
        <f t="shared" si="12"/>
        <v>-3.5671044444444435</v>
      </c>
      <c r="AK38" s="167">
        <f t="shared" si="13"/>
        <v>70115.004959999991</v>
      </c>
      <c r="AL38" s="167" t="str">
        <f t="shared" si="14"/>
        <v/>
      </c>
      <c r="AM38" s="167">
        <f t="shared" si="15"/>
        <v>1298.4260177777776</v>
      </c>
    </row>
    <row r="39" spans="1:39" hidden="1" x14ac:dyDescent="0.25">
      <c r="A39" s="128" t="s">
        <v>294</v>
      </c>
      <c r="B39" s="124" t="s">
        <v>42</v>
      </c>
      <c r="C39" s="128" t="s">
        <v>295</v>
      </c>
      <c r="D39" s="128"/>
      <c r="E39" s="124">
        <v>1</v>
      </c>
      <c r="F39" s="128"/>
      <c r="G39" s="128"/>
      <c r="H39" s="128"/>
      <c r="I39" s="128"/>
      <c r="J39" s="99" t="s">
        <v>169</v>
      </c>
      <c r="K39" s="42" t="s">
        <v>296</v>
      </c>
      <c r="L39" s="37">
        <v>4.3</v>
      </c>
      <c r="M39" s="37">
        <v>2</v>
      </c>
      <c r="N39" s="42"/>
      <c r="O39" s="42"/>
      <c r="P39" s="42"/>
      <c r="Q39" s="42"/>
      <c r="R39" s="37">
        <v>1</v>
      </c>
      <c r="S39" s="38">
        <v>155</v>
      </c>
      <c r="T39" s="38" t="s">
        <v>46</v>
      </c>
      <c r="U39" s="39">
        <v>147</v>
      </c>
      <c r="V39" s="129">
        <f>-S38+U38</f>
        <v>-12</v>
      </c>
      <c r="W39" s="44">
        <v>0</v>
      </c>
      <c r="X39" s="44">
        <v>0</v>
      </c>
      <c r="Y39" s="124">
        <v>1</v>
      </c>
      <c r="Z39" s="124">
        <v>0</v>
      </c>
      <c r="AA39" s="124">
        <v>19.989999999999998</v>
      </c>
      <c r="AB39" s="124"/>
      <c r="AC39" s="130">
        <f>IF(AA39&gt;0,AA39/1000*S38/R39,AB39)</f>
        <v>14.032979999999998</v>
      </c>
      <c r="AD39" s="45">
        <v>7</v>
      </c>
      <c r="AE39" s="46">
        <v>2</v>
      </c>
      <c r="AF39" s="47">
        <v>2</v>
      </c>
      <c r="AG39" s="167" t="str">
        <f t="shared" si="9"/>
        <v/>
      </c>
      <c r="AH39" s="168">
        <f t="shared" si="10"/>
        <v>-2.1728485161290321</v>
      </c>
      <c r="AI39" s="168" t="str">
        <f t="shared" si="11"/>
        <v/>
      </c>
      <c r="AJ39" s="167">
        <f t="shared" si="12"/>
        <v>-2.1728485161290321</v>
      </c>
      <c r="AK39" s="167">
        <f t="shared" si="13"/>
        <v>10216.00944</v>
      </c>
      <c r="AL39" s="167" t="str">
        <f t="shared" si="14"/>
        <v/>
      </c>
      <c r="AM39" s="167">
        <f t="shared" si="15"/>
        <v>790.91685987096764</v>
      </c>
    </row>
    <row r="40" spans="1:39" hidden="1" x14ac:dyDescent="0.25">
      <c r="A40" s="128" t="s">
        <v>294</v>
      </c>
      <c r="B40" s="128" t="s">
        <v>42</v>
      </c>
      <c r="C40" s="128" t="s">
        <v>295</v>
      </c>
      <c r="D40" s="128"/>
      <c r="E40" s="124">
        <v>1</v>
      </c>
      <c r="F40" s="128"/>
      <c r="G40" s="128"/>
      <c r="H40" s="128"/>
      <c r="I40" s="128"/>
      <c r="J40" s="99" t="s">
        <v>169</v>
      </c>
      <c r="K40" s="42" t="s">
        <v>297</v>
      </c>
      <c r="L40" s="37">
        <v>4.3</v>
      </c>
      <c r="M40" s="37">
        <v>5</v>
      </c>
      <c r="N40" s="42"/>
      <c r="O40" s="42"/>
      <c r="P40" s="42"/>
      <c r="Q40" s="42"/>
      <c r="R40" s="37">
        <v>1</v>
      </c>
      <c r="S40" s="38">
        <v>188</v>
      </c>
      <c r="T40" s="38" t="s">
        <v>46</v>
      </c>
      <c r="U40" s="39">
        <v>184</v>
      </c>
      <c r="V40" s="129">
        <f>-S39+U39</f>
        <v>-8</v>
      </c>
      <c r="W40" s="44">
        <v>0</v>
      </c>
      <c r="X40" s="44">
        <v>0</v>
      </c>
      <c r="Y40" s="124">
        <v>1</v>
      </c>
      <c r="Z40" s="124">
        <v>0</v>
      </c>
      <c r="AA40" s="124">
        <v>34.99</v>
      </c>
      <c r="AB40" s="124"/>
      <c r="AC40" s="130">
        <f>IF(AA40&gt;0,AA40/1000*S39/R40,AB40)</f>
        <v>5.4234499999999999</v>
      </c>
      <c r="AD40" s="45">
        <v>7</v>
      </c>
      <c r="AE40" s="46">
        <v>5</v>
      </c>
      <c r="AF40" s="47">
        <v>5</v>
      </c>
      <c r="AG40" s="167" t="str">
        <f t="shared" si="9"/>
        <v/>
      </c>
      <c r="AH40" s="168">
        <f t="shared" si="10"/>
        <v>-1.1539255319148936</v>
      </c>
      <c r="AI40" s="168" t="str">
        <f t="shared" si="11"/>
        <v/>
      </c>
      <c r="AJ40" s="167">
        <f t="shared" si="12"/>
        <v>-1.1539255319148936</v>
      </c>
      <c r="AK40" s="167">
        <f t="shared" si="13"/>
        <v>9870.6789999999983</v>
      </c>
      <c r="AL40" s="167" t="str">
        <f t="shared" si="14"/>
        <v/>
      </c>
      <c r="AM40" s="167">
        <f t="shared" si="15"/>
        <v>420.02889361702125</v>
      </c>
    </row>
    <row r="41" spans="1:39" hidden="1" x14ac:dyDescent="0.25">
      <c r="A41" s="128" t="s">
        <v>294</v>
      </c>
      <c r="B41" s="128" t="s">
        <v>42</v>
      </c>
      <c r="C41" s="128" t="s">
        <v>295</v>
      </c>
      <c r="D41" s="128"/>
      <c r="E41" s="124">
        <v>1</v>
      </c>
      <c r="F41" s="128"/>
      <c r="G41" s="128"/>
      <c r="H41" s="128"/>
      <c r="I41" s="128"/>
      <c r="J41" s="99" t="s">
        <v>169</v>
      </c>
      <c r="K41" s="42" t="s">
        <v>298</v>
      </c>
      <c r="L41" s="37">
        <v>4.3</v>
      </c>
      <c r="M41" s="37">
        <v>13</v>
      </c>
      <c r="N41" s="42"/>
      <c r="O41" s="42"/>
      <c r="P41" s="42"/>
      <c r="Q41" s="42"/>
      <c r="R41" s="37">
        <v>1</v>
      </c>
      <c r="S41" s="38">
        <v>225</v>
      </c>
      <c r="T41" s="38" t="s">
        <v>46</v>
      </c>
      <c r="U41" s="39">
        <v>220</v>
      </c>
      <c r="V41" s="129">
        <f>-S40+U40</f>
        <v>-4</v>
      </c>
      <c r="W41" s="44">
        <v>0</v>
      </c>
      <c r="X41" s="44">
        <v>0</v>
      </c>
      <c r="Y41" s="124">
        <v>1</v>
      </c>
      <c r="Z41" s="124">
        <v>0</v>
      </c>
      <c r="AA41" s="124">
        <v>18.989999999999998</v>
      </c>
      <c r="AB41" s="124"/>
      <c r="AC41" s="130">
        <f>IF(AA41&gt;0,AA41/1000*S40/R41,AB41)</f>
        <v>3.5701200000000002</v>
      </c>
      <c r="AD41" s="45">
        <v>7</v>
      </c>
      <c r="AE41" s="46">
        <v>13</v>
      </c>
      <c r="AF41" s="47">
        <v>13</v>
      </c>
      <c r="AG41" s="167" t="str">
        <f t="shared" si="9"/>
        <v/>
      </c>
      <c r="AH41" s="168">
        <f t="shared" si="10"/>
        <v>-0.82509440000000012</v>
      </c>
      <c r="AI41" s="168" t="str">
        <f t="shared" si="11"/>
        <v/>
      </c>
      <c r="AJ41" s="167">
        <f t="shared" si="12"/>
        <v>-0.82509440000000012</v>
      </c>
      <c r="AK41" s="167">
        <f t="shared" si="13"/>
        <v>16893.807840000001</v>
      </c>
      <c r="AL41" s="167" t="str">
        <f t="shared" si="14"/>
        <v/>
      </c>
      <c r="AM41" s="167">
        <f t="shared" si="15"/>
        <v>300.33436160000002</v>
      </c>
    </row>
    <row r="42" spans="1:39" hidden="1" x14ac:dyDescent="0.25">
      <c r="A42" s="128" t="s">
        <v>294</v>
      </c>
      <c r="B42" s="128" t="s">
        <v>42</v>
      </c>
      <c r="C42" s="128" t="s">
        <v>295</v>
      </c>
      <c r="D42" s="128"/>
      <c r="E42" s="124">
        <v>1</v>
      </c>
      <c r="F42" s="128"/>
      <c r="G42" s="128"/>
      <c r="H42" s="128"/>
      <c r="I42" s="128"/>
      <c r="J42" s="133" t="s">
        <v>166</v>
      </c>
      <c r="K42" s="134" t="s">
        <v>299</v>
      </c>
      <c r="L42" s="37">
        <v>4.3</v>
      </c>
      <c r="M42" s="37">
        <v>8</v>
      </c>
      <c r="N42" s="42"/>
      <c r="O42" s="42"/>
      <c r="P42" s="42"/>
      <c r="Q42" s="42"/>
      <c r="R42" s="37">
        <v>1</v>
      </c>
      <c r="S42" s="135">
        <v>650</v>
      </c>
      <c r="T42" s="38" t="s">
        <v>46</v>
      </c>
      <c r="U42" s="136">
        <v>647</v>
      </c>
      <c r="V42" s="129">
        <f>-S41+U41</f>
        <v>-5</v>
      </c>
      <c r="W42" s="44">
        <v>0</v>
      </c>
      <c r="X42" s="45">
        <v>0</v>
      </c>
      <c r="Y42" s="124">
        <v>1</v>
      </c>
      <c r="Z42" s="124">
        <v>0</v>
      </c>
      <c r="AA42" s="124">
        <v>89.99</v>
      </c>
      <c r="AB42" s="124"/>
      <c r="AC42" s="130">
        <f>IF(AA42&gt;0,AA42/1000*S41/R42,AB42)</f>
        <v>20.24775</v>
      </c>
      <c r="AD42" s="45">
        <v>7</v>
      </c>
      <c r="AE42" s="46">
        <v>8</v>
      </c>
      <c r="AF42" s="47">
        <v>8</v>
      </c>
      <c r="AG42" s="167" t="str">
        <f t="shared" si="9"/>
        <v/>
      </c>
      <c r="AH42" s="168">
        <f t="shared" si="10"/>
        <v>-1.2460153846153845</v>
      </c>
      <c r="AI42" s="168" t="str">
        <f t="shared" si="11"/>
        <v/>
      </c>
      <c r="AJ42" s="167">
        <f t="shared" si="12"/>
        <v>-1.2460153846153845</v>
      </c>
      <c r="AK42" s="167">
        <f t="shared" si="13"/>
        <v>58961.448000000004</v>
      </c>
      <c r="AL42" s="167" t="str">
        <f t="shared" si="14"/>
        <v/>
      </c>
      <c r="AM42" s="167">
        <f t="shared" si="15"/>
        <v>453.54959999999994</v>
      </c>
    </row>
    <row r="43" spans="1:39" hidden="1" x14ac:dyDescent="0.25">
      <c r="A43" s="128" t="s">
        <v>294</v>
      </c>
      <c r="B43" s="128" t="s">
        <v>42</v>
      </c>
      <c r="C43" s="128" t="s">
        <v>295</v>
      </c>
      <c r="D43" s="128"/>
      <c r="E43" s="124">
        <v>1</v>
      </c>
      <c r="F43" s="128"/>
      <c r="G43" s="128"/>
      <c r="H43" s="128"/>
      <c r="I43" s="128"/>
      <c r="J43" s="99" t="s">
        <v>169</v>
      </c>
      <c r="K43" s="134" t="s">
        <v>300</v>
      </c>
      <c r="L43" s="37">
        <v>4.3</v>
      </c>
      <c r="M43" s="37">
        <v>10</v>
      </c>
      <c r="N43" s="42"/>
      <c r="O43" s="42"/>
      <c r="P43" s="42"/>
      <c r="Q43" s="42"/>
      <c r="R43" s="37">
        <v>1</v>
      </c>
      <c r="S43" s="38">
        <v>1079</v>
      </c>
      <c r="T43" s="38" t="s">
        <v>46</v>
      </c>
      <c r="U43" s="39">
        <v>1076</v>
      </c>
      <c r="V43" s="129">
        <f t="shared" si="8"/>
        <v>-3</v>
      </c>
      <c r="W43" s="44">
        <v>0</v>
      </c>
      <c r="X43" s="45">
        <v>0</v>
      </c>
      <c r="Y43" s="124">
        <v>1</v>
      </c>
      <c r="Z43" s="124">
        <v>0</v>
      </c>
      <c r="AA43" s="124">
        <v>52.99</v>
      </c>
      <c r="AB43" s="124"/>
      <c r="AC43" s="130">
        <f t="shared" si="16"/>
        <v>57.176210000000005</v>
      </c>
      <c r="AD43" s="45">
        <v>7</v>
      </c>
      <c r="AE43" s="46">
        <v>10</v>
      </c>
      <c r="AF43" s="47">
        <v>10</v>
      </c>
      <c r="AG43" s="167" t="str">
        <f t="shared" si="9"/>
        <v/>
      </c>
      <c r="AH43" s="168">
        <f t="shared" si="10"/>
        <v>-1.5897000000000001</v>
      </c>
      <c r="AI43" s="168" t="str">
        <f t="shared" si="11"/>
        <v/>
      </c>
      <c r="AJ43" s="167">
        <f t="shared" si="12"/>
        <v>-1.5897000000000001</v>
      </c>
      <c r="AK43" s="167">
        <f t="shared" si="13"/>
        <v>208121.40440000003</v>
      </c>
      <c r="AL43" s="167" t="str">
        <f t="shared" si="14"/>
        <v/>
      </c>
      <c r="AM43" s="167">
        <f t="shared" si="15"/>
        <v>578.6508</v>
      </c>
    </row>
    <row r="44" spans="1:39" hidden="1" x14ac:dyDescent="0.25">
      <c r="A44" s="128" t="s">
        <v>294</v>
      </c>
      <c r="B44" s="128" t="s">
        <v>42</v>
      </c>
      <c r="C44" s="128" t="s">
        <v>295</v>
      </c>
      <c r="D44" s="128"/>
      <c r="E44" s="124">
        <v>1</v>
      </c>
      <c r="F44" s="128"/>
      <c r="G44" s="128"/>
      <c r="H44" s="128"/>
      <c r="I44" s="128"/>
      <c r="J44" s="99" t="s">
        <v>166</v>
      </c>
      <c r="K44" s="42" t="s">
        <v>301</v>
      </c>
      <c r="L44" s="37">
        <v>4.3</v>
      </c>
      <c r="M44" s="37">
        <v>7</v>
      </c>
      <c r="N44" s="42"/>
      <c r="O44" s="42"/>
      <c r="P44" s="42"/>
      <c r="Q44" s="42"/>
      <c r="R44" s="37">
        <v>1</v>
      </c>
      <c r="S44" s="38">
        <v>279</v>
      </c>
      <c r="T44" s="38" t="s">
        <v>46</v>
      </c>
      <c r="U44" s="39">
        <v>282</v>
      </c>
      <c r="V44" s="129">
        <f t="shared" si="8"/>
        <v>3</v>
      </c>
      <c r="W44" s="44">
        <v>0</v>
      </c>
      <c r="X44" s="45">
        <v>0</v>
      </c>
      <c r="Y44" s="124">
        <v>1</v>
      </c>
      <c r="Z44" s="124">
        <v>0</v>
      </c>
      <c r="AA44" s="124">
        <v>59.99</v>
      </c>
      <c r="AB44" s="124"/>
      <c r="AC44" s="130">
        <f t="shared" si="16"/>
        <v>16.737210000000001</v>
      </c>
      <c r="AD44" s="45">
        <v>7</v>
      </c>
      <c r="AE44" s="46">
        <v>7</v>
      </c>
      <c r="AF44" s="47">
        <v>7</v>
      </c>
      <c r="AG44" s="167">
        <f t="shared" si="9"/>
        <v>1.2597900000000002</v>
      </c>
      <c r="AH44" s="168" t="str">
        <f t="shared" si="10"/>
        <v/>
      </c>
      <c r="AI44" s="168">
        <f t="shared" si="11"/>
        <v>1.2597900000000002</v>
      </c>
      <c r="AJ44" s="167" t="str">
        <f t="shared" si="12"/>
        <v/>
      </c>
      <c r="AK44" s="167">
        <f t="shared" si="13"/>
        <v>42646.411079999998</v>
      </c>
      <c r="AL44" s="167">
        <f t="shared" si="14"/>
        <v>458.56356000000005</v>
      </c>
      <c r="AM44" s="167" t="str">
        <f t="shared" si="15"/>
        <v/>
      </c>
    </row>
    <row r="45" spans="1:39" x14ac:dyDescent="0.25">
      <c r="A45" s="128" t="s">
        <v>294</v>
      </c>
      <c r="B45" s="128" t="s">
        <v>42</v>
      </c>
      <c r="C45" s="128" t="s">
        <v>295</v>
      </c>
      <c r="D45" s="128"/>
      <c r="E45" s="124">
        <v>1</v>
      </c>
      <c r="F45" s="128"/>
      <c r="G45" s="128"/>
      <c r="H45" s="128"/>
      <c r="I45" s="128"/>
      <c r="J45" s="99" t="s">
        <v>141</v>
      </c>
      <c r="K45" s="42" t="s">
        <v>204</v>
      </c>
      <c r="L45" s="37">
        <v>4.3</v>
      </c>
      <c r="M45" s="37">
        <v>9</v>
      </c>
      <c r="N45" s="42"/>
      <c r="O45" s="42"/>
      <c r="P45" s="42"/>
      <c r="Q45" s="42"/>
      <c r="R45" s="37">
        <v>1</v>
      </c>
      <c r="S45" s="38">
        <v>700</v>
      </c>
      <c r="T45" s="38" t="s">
        <v>46</v>
      </c>
      <c r="U45" s="39">
        <v>805</v>
      </c>
      <c r="V45" s="25">
        <f t="shared" si="8"/>
        <v>105</v>
      </c>
      <c r="W45" s="44">
        <v>0</v>
      </c>
      <c r="X45" s="45">
        <v>0</v>
      </c>
      <c r="Y45" s="124">
        <v>1</v>
      </c>
      <c r="Z45" s="124">
        <v>0</v>
      </c>
      <c r="AA45" s="124"/>
      <c r="AB45" s="124">
        <v>6.79</v>
      </c>
      <c r="AC45" s="130">
        <f t="shared" si="16"/>
        <v>6.79</v>
      </c>
      <c r="AD45" s="45"/>
      <c r="AE45" s="46">
        <v>9</v>
      </c>
      <c r="AF45" s="47">
        <v>9</v>
      </c>
      <c r="AG45" s="167">
        <f t="shared" si="9"/>
        <v>9.1664999999999992</v>
      </c>
      <c r="AH45" s="168" t="str">
        <f t="shared" si="10"/>
        <v/>
      </c>
      <c r="AI45" s="168">
        <f t="shared" si="11"/>
        <v>9.1664999999999992</v>
      </c>
      <c r="AJ45" s="167" t="str">
        <f t="shared" si="12"/>
        <v/>
      </c>
      <c r="AK45" s="167">
        <f t="shared" si="13"/>
        <v>0</v>
      </c>
      <c r="AL45" s="167">
        <f t="shared" si="14"/>
        <v>0</v>
      </c>
      <c r="AM45" s="167" t="str">
        <f t="shared" si="15"/>
        <v/>
      </c>
    </row>
    <row r="46" spans="1:39" x14ac:dyDescent="0.25">
      <c r="A46" s="128" t="s">
        <v>294</v>
      </c>
      <c r="B46" s="128" t="s">
        <v>42</v>
      </c>
      <c r="C46" s="128" t="s">
        <v>295</v>
      </c>
      <c r="D46" s="128"/>
      <c r="E46" s="124">
        <v>1</v>
      </c>
      <c r="F46" s="128"/>
      <c r="G46" s="128"/>
      <c r="H46" s="128"/>
      <c r="I46" s="128"/>
      <c r="J46" s="99" t="s">
        <v>142</v>
      </c>
      <c r="K46" s="42" t="s">
        <v>48</v>
      </c>
      <c r="L46" s="37">
        <v>4.3</v>
      </c>
      <c r="M46" s="37">
        <v>4</v>
      </c>
      <c r="N46" s="42"/>
      <c r="O46" s="42"/>
      <c r="P46" s="42"/>
      <c r="Q46" s="42"/>
      <c r="R46" s="37">
        <v>1</v>
      </c>
      <c r="S46" s="38">
        <v>700</v>
      </c>
      <c r="T46" s="38" t="s">
        <v>46</v>
      </c>
      <c r="U46" s="39">
        <v>830</v>
      </c>
      <c r="V46" s="25">
        <f t="shared" si="8"/>
        <v>130</v>
      </c>
      <c r="W46" s="44">
        <v>0</v>
      </c>
      <c r="X46" s="45">
        <v>0</v>
      </c>
      <c r="Y46" s="124">
        <v>1</v>
      </c>
      <c r="Z46" s="124">
        <v>0</v>
      </c>
      <c r="AA46" s="124"/>
      <c r="AB46" s="124">
        <v>5.99</v>
      </c>
      <c r="AC46" s="130">
        <f t="shared" si="16"/>
        <v>5.99</v>
      </c>
      <c r="AD46" s="45"/>
      <c r="AE46" s="46">
        <v>4</v>
      </c>
      <c r="AF46" s="47">
        <v>4</v>
      </c>
      <c r="AG46" s="167">
        <f t="shared" si="9"/>
        <v>4.4497142857142853</v>
      </c>
      <c r="AH46" s="168" t="str">
        <f t="shared" si="10"/>
        <v/>
      </c>
      <c r="AI46" s="168">
        <f t="shared" si="11"/>
        <v>4.4497142857142853</v>
      </c>
      <c r="AJ46" s="167" t="str">
        <f t="shared" si="12"/>
        <v/>
      </c>
      <c r="AK46" s="167">
        <f t="shared" si="13"/>
        <v>0</v>
      </c>
      <c r="AL46" s="167">
        <f t="shared" si="14"/>
        <v>0</v>
      </c>
      <c r="AM46" s="167" t="str">
        <f t="shared" si="15"/>
        <v/>
      </c>
    </row>
    <row r="47" spans="1:39" hidden="1" x14ac:dyDescent="0.25">
      <c r="A47" s="128" t="s">
        <v>302</v>
      </c>
      <c r="B47" s="128" t="s">
        <v>303</v>
      </c>
      <c r="C47" s="128" t="s">
        <v>304</v>
      </c>
      <c r="D47" s="128"/>
      <c r="E47" s="124">
        <v>1</v>
      </c>
      <c r="F47" s="128"/>
      <c r="G47" s="128">
        <v>1</v>
      </c>
      <c r="H47" s="128">
        <v>1</v>
      </c>
      <c r="I47" s="128"/>
      <c r="J47" s="99" t="s">
        <v>122</v>
      </c>
      <c r="K47" s="42" t="s">
        <v>305</v>
      </c>
      <c r="L47" s="37">
        <v>4.3</v>
      </c>
      <c r="M47" s="37">
        <v>10</v>
      </c>
      <c r="N47" s="42"/>
      <c r="O47" s="42"/>
      <c r="P47" s="42"/>
      <c r="Q47" s="42"/>
      <c r="R47" s="37">
        <v>1</v>
      </c>
      <c r="S47" s="38">
        <v>5000</v>
      </c>
      <c r="T47" s="38" t="s">
        <v>46</v>
      </c>
      <c r="U47" s="39">
        <v>4970</v>
      </c>
      <c r="V47" s="129">
        <f t="shared" si="8"/>
        <v>-30</v>
      </c>
      <c r="W47" s="44">
        <v>0</v>
      </c>
      <c r="X47" s="45">
        <v>0</v>
      </c>
      <c r="Y47" s="124">
        <v>1</v>
      </c>
      <c r="Z47" s="124">
        <v>0</v>
      </c>
      <c r="AA47" s="124"/>
      <c r="AB47" s="124">
        <v>248</v>
      </c>
      <c r="AC47" s="130">
        <f t="shared" si="16"/>
        <v>248</v>
      </c>
      <c r="AD47" s="45">
        <v>5</v>
      </c>
      <c r="AE47" s="46">
        <v>10</v>
      </c>
      <c r="AF47" s="47">
        <v>10</v>
      </c>
      <c r="AG47" s="167" t="str">
        <f t="shared" si="9"/>
        <v/>
      </c>
      <c r="AH47" s="168">
        <f t="shared" si="10"/>
        <v>-14.879999999999999</v>
      </c>
      <c r="AI47" s="168" t="str">
        <f t="shared" si="11"/>
        <v/>
      </c>
      <c r="AJ47" s="167">
        <f t="shared" si="12"/>
        <v>-14.879999999999999</v>
      </c>
      <c r="AK47" s="167">
        <f t="shared" si="13"/>
        <v>644800</v>
      </c>
      <c r="AL47" s="167" t="str">
        <f t="shared" si="14"/>
        <v/>
      </c>
      <c r="AM47" s="167">
        <f t="shared" si="15"/>
        <v>3868.7999999999997</v>
      </c>
    </row>
    <row r="48" spans="1:39" x14ac:dyDescent="0.25">
      <c r="A48" s="128" t="s">
        <v>306</v>
      </c>
      <c r="B48" s="142" t="s">
        <v>203</v>
      </c>
      <c r="C48" s="142" t="s">
        <v>307</v>
      </c>
      <c r="D48" s="128"/>
      <c r="E48" s="124">
        <v>1</v>
      </c>
      <c r="F48" s="128"/>
      <c r="G48" s="128">
        <v>1</v>
      </c>
      <c r="H48" s="128">
        <v>1</v>
      </c>
      <c r="I48" s="128"/>
      <c r="J48" s="141" t="s">
        <v>142</v>
      </c>
      <c r="K48" s="42" t="s">
        <v>48</v>
      </c>
      <c r="L48" s="37">
        <v>4.5</v>
      </c>
      <c r="M48" s="37">
        <v>113</v>
      </c>
      <c r="N48" s="42"/>
      <c r="O48" s="42"/>
      <c r="P48" s="42"/>
      <c r="Q48" s="42"/>
      <c r="R48" s="37">
        <v>1</v>
      </c>
      <c r="S48" s="38">
        <v>500</v>
      </c>
      <c r="T48" s="38" t="s">
        <v>46</v>
      </c>
      <c r="U48" s="39">
        <v>501</v>
      </c>
      <c r="V48" s="25">
        <f t="shared" si="8"/>
        <v>1</v>
      </c>
      <c r="W48" s="44">
        <v>10</v>
      </c>
      <c r="X48" s="45">
        <v>2</v>
      </c>
      <c r="Y48" s="124">
        <v>1</v>
      </c>
      <c r="Z48" s="124">
        <v>0</v>
      </c>
      <c r="AA48" s="124"/>
      <c r="AB48" s="124">
        <v>5</v>
      </c>
      <c r="AC48" s="130">
        <f t="shared" si="16"/>
        <v>5</v>
      </c>
      <c r="AD48" s="45">
        <v>6</v>
      </c>
      <c r="AE48" s="46">
        <v>2700</v>
      </c>
      <c r="AF48" s="47">
        <v>113</v>
      </c>
      <c r="AG48" s="167">
        <f t="shared" si="9"/>
        <v>1.1300000000000001</v>
      </c>
      <c r="AH48" s="168" t="str">
        <f t="shared" si="10"/>
        <v/>
      </c>
      <c r="AI48" s="168">
        <f t="shared" si="11"/>
        <v>27</v>
      </c>
      <c r="AJ48" s="167" t="str">
        <f t="shared" si="12"/>
        <v/>
      </c>
      <c r="AK48" s="167">
        <f t="shared" si="13"/>
        <v>4212000</v>
      </c>
      <c r="AL48" s="167">
        <f t="shared" si="14"/>
        <v>8424</v>
      </c>
      <c r="AM48" s="167" t="str">
        <f t="shared" si="15"/>
        <v/>
      </c>
    </row>
    <row r="49" spans="1:39" x14ac:dyDescent="0.25">
      <c r="A49" s="128" t="s">
        <v>306</v>
      </c>
      <c r="B49" s="142" t="s">
        <v>203</v>
      </c>
      <c r="C49" s="142" t="s">
        <v>307</v>
      </c>
      <c r="D49" s="128"/>
      <c r="E49" s="124">
        <v>1</v>
      </c>
      <c r="F49" s="128"/>
      <c r="G49" s="128"/>
      <c r="H49" s="128"/>
      <c r="I49" s="128"/>
      <c r="J49" s="141" t="s">
        <v>142</v>
      </c>
      <c r="K49" s="42" t="s">
        <v>48</v>
      </c>
      <c r="L49" s="37">
        <v>4.5</v>
      </c>
      <c r="M49" s="37">
        <v>30</v>
      </c>
      <c r="N49" s="42"/>
      <c r="O49" s="42"/>
      <c r="P49" s="42"/>
      <c r="Q49" s="42"/>
      <c r="R49" s="37">
        <v>1</v>
      </c>
      <c r="S49" s="38">
        <v>600</v>
      </c>
      <c r="T49" s="38" t="s">
        <v>46</v>
      </c>
      <c r="U49" s="39">
        <v>606</v>
      </c>
      <c r="V49" s="25">
        <f t="shared" si="8"/>
        <v>6</v>
      </c>
      <c r="W49" s="44">
        <v>0</v>
      </c>
      <c r="X49" s="45">
        <v>0</v>
      </c>
      <c r="Y49" s="124">
        <v>0</v>
      </c>
      <c r="Z49" s="124">
        <v>0</v>
      </c>
      <c r="AA49" s="124"/>
      <c r="AB49" s="124">
        <v>5.5</v>
      </c>
      <c r="AC49" s="130">
        <f t="shared" si="16"/>
        <v>5.5</v>
      </c>
      <c r="AD49" s="45">
        <v>6</v>
      </c>
      <c r="AE49" s="46">
        <v>260</v>
      </c>
      <c r="AF49" s="47">
        <v>30</v>
      </c>
      <c r="AG49" s="167">
        <f t="shared" si="9"/>
        <v>1.65</v>
      </c>
      <c r="AH49" s="168" t="str">
        <f t="shared" si="10"/>
        <v/>
      </c>
      <c r="AI49" s="168">
        <f t="shared" si="11"/>
        <v>14.3</v>
      </c>
      <c r="AJ49" s="167" t="str">
        <f t="shared" si="12"/>
        <v/>
      </c>
      <c r="AK49" s="167">
        <f t="shared" si="13"/>
        <v>446160</v>
      </c>
      <c r="AL49" s="167">
        <f t="shared" si="14"/>
        <v>4461.6000000000004</v>
      </c>
      <c r="AM49" s="167" t="str">
        <f t="shared" si="15"/>
        <v/>
      </c>
    </row>
    <row r="50" spans="1:39" hidden="1" x14ac:dyDescent="0.25">
      <c r="A50" s="128" t="s">
        <v>308</v>
      </c>
      <c r="B50" s="142" t="s">
        <v>309</v>
      </c>
      <c r="C50" s="142" t="s">
        <v>310</v>
      </c>
      <c r="D50" s="128"/>
      <c r="E50" s="124"/>
      <c r="F50" s="128">
        <v>1</v>
      </c>
      <c r="G50" s="128"/>
      <c r="H50" s="128"/>
      <c r="I50" s="128"/>
      <c r="J50" s="99" t="s">
        <v>79</v>
      </c>
      <c r="K50" s="42" t="s">
        <v>311</v>
      </c>
      <c r="L50" s="37">
        <v>4.5</v>
      </c>
      <c r="M50" s="37"/>
      <c r="N50" s="42"/>
      <c r="O50" s="42"/>
      <c r="P50" s="42">
        <v>1</v>
      </c>
      <c r="Q50" s="42"/>
      <c r="R50" s="37">
        <v>1</v>
      </c>
      <c r="S50" s="38">
        <v>50000</v>
      </c>
      <c r="T50" s="38" t="s">
        <v>46</v>
      </c>
      <c r="U50" s="39">
        <v>50245</v>
      </c>
      <c r="V50" s="129">
        <f t="shared" si="8"/>
        <v>245</v>
      </c>
      <c r="W50" s="44">
        <v>0</v>
      </c>
      <c r="X50" s="45">
        <v>0</v>
      </c>
      <c r="Y50" s="124">
        <v>0</v>
      </c>
      <c r="Z50" s="124">
        <v>0</v>
      </c>
      <c r="AA50" s="124"/>
      <c r="AB50" s="124">
        <v>75</v>
      </c>
      <c r="AC50" s="130">
        <f t="shared" si="16"/>
        <v>75</v>
      </c>
      <c r="AD50" s="45">
        <v>1</v>
      </c>
      <c r="AE50" s="46">
        <v>3000</v>
      </c>
      <c r="AF50" s="47">
        <v>3000</v>
      </c>
      <c r="AG50" s="167">
        <f t="shared" si="9"/>
        <v>1102.5</v>
      </c>
      <c r="AH50" s="168" t="str">
        <f t="shared" si="10"/>
        <v/>
      </c>
      <c r="AI50" s="168">
        <f t="shared" si="11"/>
        <v>1102.5</v>
      </c>
      <c r="AJ50" s="167" t="str">
        <f t="shared" si="12"/>
        <v/>
      </c>
      <c r="AK50" s="167">
        <f t="shared" si="13"/>
        <v>11700000</v>
      </c>
      <c r="AL50" s="167">
        <f t="shared" si="14"/>
        <v>57330</v>
      </c>
      <c r="AM50" s="167" t="str">
        <f t="shared" si="15"/>
        <v/>
      </c>
    </row>
    <row r="51" spans="1:39" hidden="1" x14ac:dyDescent="0.25">
      <c r="A51" s="128" t="s">
        <v>312</v>
      </c>
      <c r="B51" s="142" t="s">
        <v>313</v>
      </c>
      <c r="C51" s="142" t="s">
        <v>314</v>
      </c>
      <c r="D51" s="128"/>
      <c r="E51" s="124">
        <v>1</v>
      </c>
      <c r="F51" s="128"/>
      <c r="G51" s="128"/>
      <c r="H51" s="128"/>
      <c r="I51" s="128"/>
      <c r="J51" s="99" t="s">
        <v>143</v>
      </c>
      <c r="K51" s="42" t="s">
        <v>315</v>
      </c>
      <c r="L51" s="37">
        <v>4.5</v>
      </c>
      <c r="M51" s="37"/>
      <c r="N51" s="42"/>
      <c r="O51" s="42"/>
      <c r="P51" s="42"/>
      <c r="Q51" s="42">
        <v>1</v>
      </c>
      <c r="R51" s="37">
        <v>1</v>
      </c>
      <c r="S51" s="38">
        <v>80</v>
      </c>
      <c r="T51" s="38" t="s">
        <v>46</v>
      </c>
      <c r="U51" s="39">
        <v>84.81</v>
      </c>
      <c r="V51" s="129">
        <f t="shared" si="8"/>
        <v>4.8100000000000023</v>
      </c>
      <c r="W51" s="44">
        <v>0</v>
      </c>
      <c r="X51" s="45">
        <v>0</v>
      </c>
      <c r="Y51" s="124">
        <v>0</v>
      </c>
      <c r="Z51" s="124">
        <v>0</v>
      </c>
      <c r="AA51" s="124"/>
      <c r="AB51" s="124">
        <v>12</v>
      </c>
      <c r="AC51" s="130">
        <f t="shared" si="16"/>
        <v>12</v>
      </c>
      <c r="AD51" s="45">
        <v>5</v>
      </c>
      <c r="AE51" s="46">
        <v>10000</v>
      </c>
      <c r="AF51" s="47">
        <v>1000</v>
      </c>
      <c r="AG51" s="167">
        <f t="shared" si="9"/>
        <v>721.50000000000034</v>
      </c>
      <c r="AH51" s="168" t="str">
        <f t="shared" si="10"/>
        <v/>
      </c>
      <c r="AI51" s="168">
        <f t="shared" si="11"/>
        <v>7215.0000000000036</v>
      </c>
      <c r="AJ51" s="167" t="str">
        <f t="shared" si="12"/>
        <v/>
      </c>
      <c r="AK51" s="167">
        <f t="shared" si="13"/>
        <v>31200000</v>
      </c>
      <c r="AL51" s="167">
        <f t="shared" si="14"/>
        <v>1875900.0000000007</v>
      </c>
      <c r="AM51" s="167" t="str">
        <f t="shared" si="15"/>
        <v/>
      </c>
    </row>
    <row r="52" spans="1:39" hidden="1" x14ac:dyDescent="0.25">
      <c r="A52" s="128" t="s">
        <v>316</v>
      </c>
      <c r="B52" s="142" t="s">
        <v>313</v>
      </c>
      <c r="C52" s="142" t="s">
        <v>317</v>
      </c>
      <c r="D52" s="128"/>
      <c r="E52" s="124">
        <v>1</v>
      </c>
      <c r="F52" s="128"/>
      <c r="G52" s="128"/>
      <c r="H52" s="128"/>
      <c r="I52" s="128"/>
      <c r="J52" s="99" t="s">
        <v>143</v>
      </c>
      <c r="K52" s="42" t="s">
        <v>318</v>
      </c>
      <c r="L52" s="37">
        <v>4.5</v>
      </c>
      <c r="M52" s="37"/>
      <c r="N52" s="42"/>
      <c r="O52" s="42"/>
      <c r="P52" s="42">
        <v>1</v>
      </c>
      <c r="Q52" s="42"/>
      <c r="R52" s="37">
        <v>1</v>
      </c>
      <c r="S52" s="38">
        <v>125</v>
      </c>
      <c r="T52" s="38" t="s">
        <v>46</v>
      </c>
      <c r="U52" s="39">
        <v>131.47999999999999</v>
      </c>
      <c r="V52" s="129">
        <f t="shared" si="8"/>
        <v>6.4799999999999898</v>
      </c>
      <c r="W52" s="44">
        <v>0</v>
      </c>
      <c r="X52" s="45">
        <v>0</v>
      </c>
      <c r="Y52" s="124">
        <v>0</v>
      </c>
      <c r="Z52" s="124">
        <v>0</v>
      </c>
      <c r="AA52" s="124"/>
      <c r="AB52" s="124">
        <v>15</v>
      </c>
      <c r="AC52" s="130">
        <f t="shared" si="16"/>
        <v>15</v>
      </c>
      <c r="AD52" s="45">
        <v>5</v>
      </c>
      <c r="AE52" s="46">
        <v>3000</v>
      </c>
      <c r="AF52" s="47">
        <v>3000</v>
      </c>
      <c r="AG52" s="167">
        <f t="shared" si="9"/>
        <v>2332.7999999999961</v>
      </c>
      <c r="AH52" s="168" t="str">
        <f t="shared" si="10"/>
        <v/>
      </c>
      <c r="AI52" s="168">
        <f t="shared" si="11"/>
        <v>2332.7999999999961</v>
      </c>
      <c r="AJ52" s="167" t="str">
        <f t="shared" si="12"/>
        <v/>
      </c>
      <c r="AK52" s="167">
        <f t="shared" si="13"/>
        <v>11700000</v>
      </c>
      <c r="AL52" s="167">
        <f t="shared" si="14"/>
        <v>606527.99999999895</v>
      </c>
      <c r="AM52" s="167" t="str">
        <f t="shared" si="15"/>
        <v/>
      </c>
    </row>
    <row r="53" spans="1:39" hidden="1" x14ac:dyDescent="0.25">
      <c r="A53" s="128" t="s">
        <v>319</v>
      </c>
      <c r="B53" s="142" t="s">
        <v>201</v>
      </c>
      <c r="C53" s="142" t="s">
        <v>320</v>
      </c>
      <c r="D53" s="128"/>
      <c r="E53" s="124">
        <v>1</v>
      </c>
      <c r="F53" s="128"/>
      <c r="G53" s="128"/>
      <c r="H53" s="128"/>
      <c r="I53" s="128"/>
      <c r="J53" s="99" t="s">
        <v>160</v>
      </c>
      <c r="K53" s="42" t="s">
        <v>321</v>
      </c>
      <c r="L53" s="37">
        <v>4.5</v>
      </c>
      <c r="M53" s="37"/>
      <c r="N53" s="42"/>
      <c r="O53" s="42">
        <v>1</v>
      </c>
      <c r="P53" s="42"/>
      <c r="Q53" s="42"/>
      <c r="R53" s="37">
        <v>1</v>
      </c>
      <c r="S53" s="38">
        <v>1000</v>
      </c>
      <c r="T53" s="38" t="s">
        <v>202</v>
      </c>
      <c r="U53" s="39">
        <v>998.71</v>
      </c>
      <c r="V53" s="129">
        <f t="shared" si="8"/>
        <v>-1.2899999999999636</v>
      </c>
      <c r="W53" s="44">
        <v>13</v>
      </c>
      <c r="X53" s="45">
        <v>11</v>
      </c>
      <c r="Y53" s="124">
        <v>1</v>
      </c>
      <c r="Z53" s="124">
        <v>1</v>
      </c>
      <c r="AA53" s="124"/>
      <c r="AB53" s="124">
        <v>15</v>
      </c>
      <c r="AC53" s="130">
        <f t="shared" si="16"/>
        <v>15</v>
      </c>
      <c r="AD53" s="45">
        <v>5</v>
      </c>
      <c r="AE53" s="46">
        <v>500</v>
      </c>
      <c r="AF53" s="47">
        <v>500</v>
      </c>
      <c r="AG53" s="167" t="str">
        <f t="shared" si="9"/>
        <v/>
      </c>
      <c r="AH53" s="168">
        <f t="shared" si="10"/>
        <v>-9.6749999999997272</v>
      </c>
      <c r="AI53" s="168" t="str">
        <f t="shared" si="11"/>
        <v/>
      </c>
      <c r="AJ53" s="167">
        <f t="shared" si="12"/>
        <v>-9.6749999999997272</v>
      </c>
      <c r="AK53" s="167">
        <f t="shared" si="13"/>
        <v>1950000</v>
      </c>
      <c r="AL53" s="167" t="str">
        <f t="shared" si="14"/>
        <v/>
      </c>
      <c r="AM53" s="167">
        <f t="shared" si="15"/>
        <v>2515.4999999999291</v>
      </c>
    </row>
    <row r="54" spans="1:39" hidden="1" x14ac:dyDescent="0.25">
      <c r="A54" s="128" t="s">
        <v>319</v>
      </c>
      <c r="B54" s="142" t="s">
        <v>201</v>
      </c>
      <c r="C54" s="142" t="s">
        <v>320</v>
      </c>
      <c r="D54" s="128"/>
      <c r="E54" s="124">
        <v>1</v>
      </c>
      <c r="F54" s="128"/>
      <c r="G54" s="128"/>
      <c r="H54" s="128"/>
      <c r="I54" s="128"/>
      <c r="J54" s="99" t="s">
        <v>160</v>
      </c>
      <c r="K54" s="42" t="s">
        <v>322</v>
      </c>
      <c r="L54" s="37">
        <v>4.5</v>
      </c>
      <c r="M54" s="37"/>
      <c r="N54" s="42"/>
      <c r="O54" s="42">
        <v>1</v>
      </c>
      <c r="P54" s="42"/>
      <c r="Q54" s="42"/>
      <c r="R54" s="37">
        <v>1</v>
      </c>
      <c r="S54" s="38">
        <v>5000</v>
      </c>
      <c r="T54" s="38" t="s">
        <v>202</v>
      </c>
      <c r="U54" s="39">
        <v>5162</v>
      </c>
      <c r="V54" s="129">
        <f t="shared" si="8"/>
        <v>162</v>
      </c>
      <c r="W54" s="44">
        <v>0</v>
      </c>
      <c r="X54" s="45">
        <v>0</v>
      </c>
      <c r="Y54" s="124">
        <v>0</v>
      </c>
      <c r="Z54" s="124">
        <v>0</v>
      </c>
      <c r="AA54" s="124"/>
      <c r="AB54" s="124">
        <v>55</v>
      </c>
      <c r="AC54" s="130">
        <f t="shared" si="16"/>
        <v>55</v>
      </c>
      <c r="AD54" s="45">
        <v>5</v>
      </c>
      <c r="AE54" s="46">
        <v>500</v>
      </c>
      <c r="AF54" s="47">
        <v>500</v>
      </c>
      <c r="AG54" s="167">
        <f t="shared" si="9"/>
        <v>890.99999999999989</v>
      </c>
      <c r="AH54" s="168" t="str">
        <f t="shared" si="10"/>
        <v/>
      </c>
      <c r="AI54" s="168">
        <f t="shared" si="11"/>
        <v>890.99999999999989</v>
      </c>
      <c r="AJ54" s="167" t="str">
        <f t="shared" si="12"/>
        <v/>
      </c>
      <c r="AK54" s="167">
        <f t="shared" si="13"/>
        <v>7150000</v>
      </c>
      <c r="AL54" s="167">
        <f t="shared" si="14"/>
        <v>231659.99999999994</v>
      </c>
      <c r="AM54" s="167" t="str">
        <f t="shared" si="15"/>
        <v/>
      </c>
    </row>
    <row r="55" spans="1:39" hidden="1" x14ac:dyDescent="0.25">
      <c r="A55" s="128" t="s">
        <v>319</v>
      </c>
      <c r="B55" s="142" t="s">
        <v>201</v>
      </c>
      <c r="C55" s="142" t="s">
        <v>320</v>
      </c>
      <c r="D55" s="128"/>
      <c r="E55" s="124">
        <v>1</v>
      </c>
      <c r="F55" s="128"/>
      <c r="G55" s="128"/>
      <c r="H55" s="128"/>
      <c r="I55" s="128"/>
      <c r="J55" s="99" t="s">
        <v>160</v>
      </c>
      <c r="K55" s="42" t="s">
        <v>322</v>
      </c>
      <c r="L55" s="37">
        <v>4.5</v>
      </c>
      <c r="M55" s="37"/>
      <c r="N55" s="42"/>
      <c r="O55" s="42"/>
      <c r="P55" s="42">
        <v>1</v>
      </c>
      <c r="Q55" s="42"/>
      <c r="R55" s="37">
        <v>1</v>
      </c>
      <c r="S55" s="38">
        <v>750</v>
      </c>
      <c r="T55" s="38" t="s">
        <v>202</v>
      </c>
      <c r="U55" s="39">
        <v>774.37</v>
      </c>
      <c r="V55" s="129">
        <f t="shared" si="8"/>
        <v>24.370000000000005</v>
      </c>
      <c r="W55" s="44">
        <v>0</v>
      </c>
      <c r="X55" s="45">
        <v>0</v>
      </c>
      <c r="Y55" s="124">
        <v>0</v>
      </c>
      <c r="Z55" s="124">
        <v>0</v>
      </c>
      <c r="AA55" s="124"/>
      <c r="AB55" s="124">
        <v>25</v>
      </c>
      <c r="AC55" s="130">
        <f t="shared" si="16"/>
        <v>25</v>
      </c>
      <c r="AD55" s="45">
        <v>5</v>
      </c>
      <c r="AE55" s="46">
        <v>1000</v>
      </c>
      <c r="AF55" s="47">
        <v>1000</v>
      </c>
      <c r="AG55" s="167">
        <f t="shared" si="9"/>
        <v>812.33333333333348</v>
      </c>
      <c r="AH55" s="168" t="str">
        <f t="shared" si="10"/>
        <v/>
      </c>
      <c r="AI55" s="168">
        <f t="shared" si="11"/>
        <v>812.33333333333348</v>
      </c>
      <c r="AJ55" s="167" t="str">
        <f t="shared" si="12"/>
        <v/>
      </c>
      <c r="AK55" s="167">
        <f t="shared" si="13"/>
        <v>6500000</v>
      </c>
      <c r="AL55" s="167">
        <f t="shared" si="14"/>
        <v>211206.66666666672</v>
      </c>
      <c r="AM55" s="167" t="str">
        <f t="shared" si="15"/>
        <v/>
      </c>
    </row>
    <row r="56" spans="1:39" hidden="1" x14ac:dyDescent="0.25">
      <c r="A56" s="128" t="s">
        <v>319</v>
      </c>
      <c r="B56" s="142" t="s">
        <v>201</v>
      </c>
      <c r="C56" s="142" t="s">
        <v>320</v>
      </c>
      <c r="D56" s="128"/>
      <c r="E56" s="124">
        <v>1</v>
      </c>
      <c r="F56" s="128"/>
      <c r="G56" s="128"/>
      <c r="H56" s="128"/>
      <c r="I56" s="128"/>
      <c r="J56" s="99" t="s">
        <v>160</v>
      </c>
      <c r="K56" s="42" t="s">
        <v>322</v>
      </c>
      <c r="L56" s="37">
        <v>4.5</v>
      </c>
      <c r="M56" s="37"/>
      <c r="N56" s="42"/>
      <c r="O56" s="42">
        <v>1</v>
      </c>
      <c r="P56" s="42"/>
      <c r="Q56" s="42"/>
      <c r="R56" s="37">
        <v>1</v>
      </c>
      <c r="S56" s="38">
        <v>1250</v>
      </c>
      <c r="T56" s="38" t="s">
        <v>202</v>
      </c>
      <c r="U56" s="39">
        <v>1273</v>
      </c>
      <c r="V56" s="129">
        <f t="shared" si="8"/>
        <v>23</v>
      </c>
      <c r="W56" s="44">
        <v>0</v>
      </c>
      <c r="X56" s="45">
        <v>0</v>
      </c>
      <c r="Y56" s="124">
        <v>0</v>
      </c>
      <c r="Z56" s="124">
        <v>0</v>
      </c>
      <c r="AA56" s="124"/>
      <c r="AB56" s="124">
        <v>35</v>
      </c>
      <c r="AC56" s="130">
        <f t="shared" si="16"/>
        <v>35</v>
      </c>
      <c r="AD56" s="45">
        <v>5</v>
      </c>
      <c r="AE56" s="46">
        <v>500</v>
      </c>
      <c r="AF56" s="47">
        <v>500</v>
      </c>
      <c r="AG56" s="167">
        <f t="shared" si="9"/>
        <v>322</v>
      </c>
      <c r="AH56" s="168" t="str">
        <f t="shared" si="10"/>
        <v/>
      </c>
      <c r="AI56" s="168">
        <f t="shared" si="11"/>
        <v>322</v>
      </c>
      <c r="AJ56" s="167" t="str">
        <f t="shared" si="12"/>
        <v/>
      </c>
      <c r="AK56" s="167">
        <f t="shared" si="13"/>
        <v>4550000</v>
      </c>
      <c r="AL56" s="167">
        <f t="shared" si="14"/>
        <v>83720</v>
      </c>
      <c r="AM56" s="167" t="str">
        <f t="shared" si="15"/>
        <v/>
      </c>
    </row>
    <row r="57" spans="1:39" hidden="1" x14ac:dyDescent="0.25">
      <c r="A57" s="128" t="s">
        <v>319</v>
      </c>
      <c r="B57" s="142" t="s">
        <v>201</v>
      </c>
      <c r="C57" s="142" t="s">
        <v>320</v>
      </c>
      <c r="D57" s="128"/>
      <c r="E57" s="124">
        <v>1</v>
      </c>
      <c r="F57" s="128"/>
      <c r="G57" s="128"/>
      <c r="H57" s="128"/>
      <c r="I57" s="128"/>
      <c r="J57" s="99" t="s">
        <v>160</v>
      </c>
      <c r="K57" s="42" t="s">
        <v>322</v>
      </c>
      <c r="L57" s="37">
        <v>4.5</v>
      </c>
      <c r="M57" s="37"/>
      <c r="N57" s="42">
        <v>1</v>
      </c>
      <c r="O57" s="42"/>
      <c r="P57" s="42"/>
      <c r="Q57" s="42"/>
      <c r="R57" s="37">
        <v>1</v>
      </c>
      <c r="S57" s="38">
        <v>1000</v>
      </c>
      <c r="T57" s="38" t="s">
        <v>202</v>
      </c>
      <c r="U57" s="39">
        <v>1007</v>
      </c>
      <c r="V57" s="129">
        <f t="shared" si="8"/>
        <v>7</v>
      </c>
      <c r="W57" s="44">
        <v>0</v>
      </c>
      <c r="X57" s="45">
        <v>0</v>
      </c>
      <c r="Y57" s="124">
        <v>0</v>
      </c>
      <c r="Z57" s="124">
        <v>0</v>
      </c>
      <c r="AA57" s="124"/>
      <c r="AB57" s="124">
        <v>30</v>
      </c>
      <c r="AC57" s="130">
        <f t="shared" si="16"/>
        <v>30</v>
      </c>
      <c r="AD57" s="45">
        <v>5</v>
      </c>
      <c r="AE57" s="46">
        <v>500</v>
      </c>
      <c r="AF57" s="47">
        <v>500</v>
      </c>
      <c r="AG57" s="167">
        <f t="shared" si="9"/>
        <v>105</v>
      </c>
      <c r="AH57" s="168" t="str">
        <f t="shared" si="10"/>
        <v/>
      </c>
      <c r="AI57" s="168">
        <f t="shared" si="11"/>
        <v>105</v>
      </c>
      <c r="AJ57" s="167" t="str">
        <f t="shared" si="12"/>
        <v/>
      </c>
      <c r="AK57" s="167">
        <f t="shared" si="13"/>
        <v>3900000</v>
      </c>
      <c r="AL57" s="167">
        <f t="shared" si="14"/>
        <v>27300</v>
      </c>
      <c r="AM57" s="167" t="str">
        <f t="shared" si="15"/>
        <v/>
      </c>
    </row>
    <row r="58" spans="1:39" hidden="1" x14ac:dyDescent="0.25">
      <c r="A58" s="128" t="s">
        <v>319</v>
      </c>
      <c r="B58" s="142" t="s">
        <v>201</v>
      </c>
      <c r="C58" s="142" t="s">
        <v>320</v>
      </c>
      <c r="D58" s="128"/>
      <c r="E58" s="124">
        <v>1</v>
      </c>
      <c r="F58" s="128"/>
      <c r="G58" s="128"/>
      <c r="H58" s="128"/>
      <c r="I58" s="128"/>
      <c r="J58" s="99" t="s">
        <v>132</v>
      </c>
      <c r="K58" s="42" t="s">
        <v>323</v>
      </c>
      <c r="L58" s="37">
        <v>4.5</v>
      </c>
      <c r="M58" s="37"/>
      <c r="N58" s="42"/>
      <c r="O58" s="42">
        <v>1</v>
      </c>
      <c r="P58" s="42"/>
      <c r="Q58" s="42"/>
      <c r="R58" s="37">
        <v>1</v>
      </c>
      <c r="S58" s="38">
        <v>750</v>
      </c>
      <c r="T58" s="38" t="s">
        <v>202</v>
      </c>
      <c r="U58" s="39">
        <v>762.95</v>
      </c>
      <c r="V58" s="129">
        <f t="shared" si="8"/>
        <v>12.950000000000045</v>
      </c>
      <c r="W58" s="44">
        <v>0</v>
      </c>
      <c r="X58" s="45">
        <v>0</v>
      </c>
      <c r="Y58" s="124">
        <v>0</v>
      </c>
      <c r="Z58" s="124">
        <v>0</v>
      </c>
      <c r="AA58" s="124"/>
      <c r="AB58" s="124">
        <v>18</v>
      </c>
      <c r="AC58" s="130">
        <f t="shared" si="16"/>
        <v>18</v>
      </c>
      <c r="AD58" s="45">
        <v>5</v>
      </c>
      <c r="AE58" s="46">
        <v>1000</v>
      </c>
      <c r="AF58" s="47">
        <v>1000</v>
      </c>
      <c r="AG58" s="167">
        <f t="shared" si="9"/>
        <v>310.80000000000109</v>
      </c>
      <c r="AH58" s="168" t="str">
        <f t="shared" si="10"/>
        <v/>
      </c>
      <c r="AI58" s="168">
        <f t="shared" si="11"/>
        <v>310.80000000000109</v>
      </c>
      <c r="AJ58" s="167" t="str">
        <f t="shared" si="12"/>
        <v/>
      </c>
      <c r="AK58" s="167">
        <f t="shared" si="13"/>
        <v>4680000</v>
      </c>
      <c r="AL58" s="167">
        <f t="shared" si="14"/>
        <v>80808.000000000291</v>
      </c>
      <c r="AM58" s="167" t="str">
        <f t="shared" si="15"/>
        <v/>
      </c>
    </row>
    <row r="59" spans="1:39" x14ac:dyDescent="0.25">
      <c r="A59" s="128" t="s">
        <v>324</v>
      </c>
      <c r="B59" s="142" t="s">
        <v>42</v>
      </c>
      <c r="C59" s="142" t="s">
        <v>325</v>
      </c>
      <c r="D59" s="128"/>
      <c r="E59" s="124">
        <v>1</v>
      </c>
      <c r="F59" s="128"/>
      <c r="G59" s="128"/>
      <c r="H59" s="128"/>
      <c r="I59" s="128"/>
      <c r="J59" s="99" t="s">
        <v>140</v>
      </c>
      <c r="K59" s="42" t="s">
        <v>326</v>
      </c>
      <c r="L59" s="37">
        <v>4.5</v>
      </c>
      <c r="M59" s="37">
        <v>14</v>
      </c>
      <c r="N59" s="42"/>
      <c r="O59" s="42"/>
      <c r="P59" s="42"/>
      <c r="Q59" s="42"/>
      <c r="R59" s="37">
        <v>1</v>
      </c>
      <c r="S59" s="38">
        <v>600</v>
      </c>
      <c r="T59" s="38" t="s">
        <v>46</v>
      </c>
      <c r="U59" s="39">
        <v>637</v>
      </c>
      <c r="V59" s="25">
        <f t="shared" si="8"/>
        <v>37</v>
      </c>
      <c r="W59" s="44">
        <v>0</v>
      </c>
      <c r="X59" s="45">
        <v>0</v>
      </c>
      <c r="Y59" s="124">
        <v>0</v>
      </c>
      <c r="Z59" s="124">
        <v>0</v>
      </c>
      <c r="AA59" s="124"/>
      <c r="AB59" s="124">
        <v>5.4</v>
      </c>
      <c r="AC59" s="130">
        <f t="shared" si="16"/>
        <v>5.4</v>
      </c>
      <c r="AD59" s="45">
        <v>5</v>
      </c>
      <c r="AE59" s="46">
        <v>360</v>
      </c>
      <c r="AF59" s="47">
        <v>18</v>
      </c>
      <c r="AG59" s="167">
        <f t="shared" si="9"/>
        <v>5.9940000000000007</v>
      </c>
      <c r="AH59" s="168" t="str">
        <f t="shared" si="10"/>
        <v/>
      </c>
      <c r="AI59" s="168">
        <f t="shared" si="11"/>
        <v>119.88000000000001</v>
      </c>
      <c r="AJ59" s="167" t="str">
        <f t="shared" si="12"/>
        <v/>
      </c>
      <c r="AK59" s="167">
        <f t="shared" si="13"/>
        <v>505440.00000000012</v>
      </c>
      <c r="AL59" s="167">
        <f t="shared" si="14"/>
        <v>31168.800000000003</v>
      </c>
      <c r="AM59" s="167" t="str">
        <f t="shared" si="15"/>
        <v/>
      </c>
    </row>
    <row r="60" spans="1:39" x14ac:dyDescent="0.25">
      <c r="A60" s="124" t="s">
        <v>248</v>
      </c>
      <c r="B60" s="124" t="s">
        <v>42</v>
      </c>
      <c r="C60" s="124" t="s">
        <v>249</v>
      </c>
      <c r="D60" s="124"/>
      <c r="E60" s="124">
        <v>1</v>
      </c>
      <c r="F60" s="124"/>
      <c r="G60" s="124">
        <v>0</v>
      </c>
      <c r="H60" s="124">
        <v>0</v>
      </c>
      <c r="I60" s="124">
        <v>0</v>
      </c>
      <c r="J60" s="99" t="s">
        <v>141</v>
      </c>
      <c r="K60" s="37" t="s">
        <v>204</v>
      </c>
      <c r="L60" s="37">
        <v>4.5</v>
      </c>
      <c r="M60" s="37"/>
      <c r="N60" s="37"/>
      <c r="O60" s="37">
        <v>1</v>
      </c>
      <c r="P60" s="37"/>
      <c r="Q60" s="37"/>
      <c r="R60" s="37"/>
      <c r="S60" s="38">
        <v>600</v>
      </c>
      <c r="T60" s="38" t="s">
        <v>46</v>
      </c>
      <c r="U60" s="39">
        <v>617.48</v>
      </c>
      <c r="V60" s="25">
        <f t="shared" si="8"/>
        <v>17.480000000000018</v>
      </c>
      <c r="W60" s="79"/>
      <c r="X60" s="40"/>
      <c r="Y60" s="124">
        <v>1</v>
      </c>
      <c r="Z60" s="124"/>
      <c r="AA60" s="143"/>
      <c r="AB60" s="124">
        <v>4.99</v>
      </c>
      <c r="AC60" s="130">
        <f>IF(AA60&gt;0,AA60/1000*S60/R60,AB60)</f>
        <v>4.99</v>
      </c>
      <c r="AD60" s="40">
        <v>7</v>
      </c>
      <c r="AE60" s="41">
        <v>240</v>
      </c>
      <c r="AF60" s="80">
        <v>312</v>
      </c>
      <c r="AG60" s="167">
        <f t="shared" si="9"/>
        <v>45.357104000000049</v>
      </c>
      <c r="AH60" s="168" t="str">
        <f t="shared" si="10"/>
        <v/>
      </c>
      <c r="AI60" s="168">
        <f t="shared" si="11"/>
        <v>34.89008000000004</v>
      </c>
      <c r="AJ60" s="167" t="str">
        <f t="shared" si="12"/>
        <v/>
      </c>
      <c r="AK60" s="167">
        <f t="shared" si="13"/>
        <v>435926.4</v>
      </c>
      <c r="AL60" s="167">
        <f t="shared" si="14"/>
        <v>12699.989120000015</v>
      </c>
      <c r="AM60" s="167" t="str">
        <f t="shared" si="15"/>
        <v/>
      </c>
    </row>
    <row r="61" spans="1:39" x14ac:dyDescent="0.25">
      <c r="A61" s="128"/>
      <c r="B61" s="128"/>
      <c r="C61" s="128"/>
      <c r="D61" s="128"/>
      <c r="E61" s="128"/>
      <c r="F61" s="128"/>
      <c r="G61" s="128"/>
      <c r="H61" s="124"/>
      <c r="I61" s="124"/>
      <c r="J61" s="99" t="s">
        <v>142</v>
      </c>
      <c r="K61" s="37" t="s">
        <v>48</v>
      </c>
      <c r="L61" s="37">
        <v>4.5</v>
      </c>
      <c r="M61" s="37"/>
      <c r="N61" s="42"/>
      <c r="O61" s="42">
        <v>1</v>
      </c>
      <c r="P61" s="42"/>
      <c r="Q61" s="42"/>
      <c r="R61" s="37"/>
      <c r="S61" s="38">
        <v>600</v>
      </c>
      <c r="T61" s="43" t="s">
        <v>46</v>
      </c>
      <c r="U61" s="39">
        <v>612</v>
      </c>
      <c r="V61" s="25">
        <f t="shared" si="8"/>
        <v>12</v>
      </c>
      <c r="W61" s="44"/>
      <c r="X61" s="45"/>
      <c r="Y61" s="124">
        <v>1</v>
      </c>
      <c r="Z61" s="124"/>
      <c r="AA61" s="124"/>
      <c r="AB61" s="124">
        <v>5.49</v>
      </c>
      <c r="AC61" s="130">
        <f t="shared" ref="AC61:AC92" si="17">IF(AA61&gt;0,AA61/1000*S61/R61,AB61)</f>
        <v>5.49</v>
      </c>
      <c r="AD61" s="45">
        <v>7</v>
      </c>
      <c r="AE61" s="46">
        <v>500</v>
      </c>
      <c r="AF61" s="47">
        <v>88</v>
      </c>
      <c r="AG61" s="167">
        <f t="shared" si="9"/>
        <v>9.6624000000000017</v>
      </c>
      <c r="AH61" s="168" t="str">
        <f t="shared" si="10"/>
        <v/>
      </c>
      <c r="AI61" s="168">
        <f t="shared" si="11"/>
        <v>54.900000000000006</v>
      </c>
      <c r="AJ61" s="167" t="str">
        <f t="shared" si="12"/>
        <v/>
      </c>
      <c r="AK61" s="167">
        <f t="shared" si="13"/>
        <v>999180</v>
      </c>
      <c r="AL61" s="167">
        <f t="shared" si="14"/>
        <v>19983.600000000002</v>
      </c>
      <c r="AM61" s="167" t="str">
        <f t="shared" si="15"/>
        <v/>
      </c>
    </row>
    <row r="62" spans="1:39" x14ac:dyDescent="0.25">
      <c r="A62" s="128" t="s">
        <v>327</v>
      </c>
      <c r="B62" s="128" t="s">
        <v>42</v>
      </c>
      <c r="C62" s="128" t="s">
        <v>250</v>
      </c>
      <c r="D62" s="128"/>
      <c r="E62" s="128">
        <v>1</v>
      </c>
      <c r="F62" s="128"/>
      <c r="G62" s="128">
        <v>0</v>
      </c>
      <c r="H62" s="128">
        <v>0</v>
      </c>
      <c r="I62" s="128">
        <v>0</v>
      </c>
      <c r="J62" s="99" t="s">
        <v>142</v>
      </c>
      <c r="K62" s="42" t="s">
        <v>48</v>
      </c>
      <c r="L62" s="37">
        <v>4.5</v>
      </c>
      <c r="M62" s="37"/>
      <c r="N62" s="42"/>
      <c r="O62" s="42">
        <v>1</v>
      </c>
      <c r="P62" s="42"/>
      <c r="Q62" s="42"/>
      <c r="R62" s="37"/>
      <c r="S62" s="38">
        <v>500</v>
      </c>
      <c r="T62" s="43" t="s">
        <v>46</v>
      </c>
      <c r="U62" s="39">
        <v>510.88</v>
      </c>
      <c r="V62" s="25">
        <f t="shared" si="8"/>
        <v>10.879999999999995</v>
      </c>
      <c r="W62" s="44"/>
      <c r="X62" s="45"/>
      <c r="Y62" s="124">
        <v>1</v>
      </c>
      <c r="Z62" s="124"/>
      <c r="AA62" s="124"/>
      <c r="AB62" s="124">
        <v>5.99</v>
      </c>
      <c r="AC62" s="130">
        <f t="shared" si="17"/>
        <v>5.99</v>
      </c>
      <c r="AD62" s="45">
        <v>7</v>
      </c>
      <c r="AE62" s="46">
        <v>180</v>
      </c>
      <c r="AF62" s="47">
        <v>96</v>
      </c>
      <c r="AG62" s="167">
        <f t="shared" si="9"/>
        <v>12.512870399999997</v>
      </c>
      <c r="AH62" s="168" t="str">
        <f t="shared" si="10"/>
        <v/>
      </c>
      <c r="AI62" s="168">
        <f t="shared" si="11"/>
        <v>23.461631999999994</v>
      </c>
      <c r="AJ62" s="167" t="str">
        <f t="shared" si="12"/>
        <v/>
      </c>
      <c r="AK62" s="167">
        <f t="shared" si="13"/>
        <v>392464.80000000005</v>
      </c>
      <c r="AL62" s="167">
        <f t="shared" si="14"/>
        <v>8540.0340479999977</v>
      </c>
      <c r="AM62" s="167" t="str">
        <f t="shared" si="15"/>
        <v/>
      </c>
    </row>
    <row r="63" spans="1:39" x14ac:dyDescent="0.25">
      <c r="A63" s="128"/>
      <c r="B63" s="128"/>
      <c r="C63" s="128"/>
      <c r="D63" s="128"/>
      <c r="E63" s="128">
        <v>1</v>
      </c>
      <c r="F63" s="128"/>
      <c r="G63" s="128">
        <v>0</v>
      </c>
      <c r="H63" s="128">
        <v>0</v>
      </c>
      <c r="I63" s="128">
        <v>0</v>
      </c>
      <c r="J63" s="99" t="s">
        <v>141</v>
      </c>
      <c r="K63" s="42" t="s">
        <v>204</v>
      </c>
      <c r="L63" s="37">
        <v>4.5</v>
      </c>
      <c r="M63" s="37"/>
      <c r="N63" s="42"/>
      <c r="O63" s="42">
        <v>1</v>
      </c>
      <c r="P63" s="42"/>
      <c r="Q63" s="42"/>
      <c r="R63" s="37"/>
      <c r="S63" s="38">
        <v>500</v>
      </c>
      <c r="T63" s="43" t="s">
        <v>46</v>
      </c>
      <c r="U63" s="39">
        <v>528.24</v>
      </c>
      <c r="V63" s="25">
        <f t="shared" si="8"/>
        <v>28.240000000000009</v>
      </c>
      <c r="W63" s="44"/>
      <c r="X63" s="45"/>
      <c r="Y63" s="124">
        <v>1</v>
      </c>
      <c r="Z63" s="124"/>
      <c r="AA63" s="124"/>
      <c r="AB63" s="124">
        <v>4.99</v>
      </c>
      <c r="AC63" s="130">
        <f t="shared" si="17"/>
        <v>4.99</v>
      </c>
      <c r="AD63" s="45">
        <v>7</v>
      </c>
      <c r="AE63" s="46">
        <v>150</v>
      </c>
      <c r="AF63" s="47">
        <v>90</v>
      </c>
      <c r="AG63" s="167">
        <f t="shared" si="9"/>
        <v>25.365168000000011</v>
      </c>
      <c r="AH63" s="168" t="str">
        <f t="shared" si="10"/>
        <v/>
      </c>
      <c r="AI63" s="168">
        <f t="shared" si="11"/>
        <v>42.275280000000016</v>
      </c>
      <c r="AJ63" s="167" t="str">
        <f t="shared" si="12"/>
        <v/>
      </c>
      <c r="AK63" s="167">
        <f t="shared" si="13"/>
        <v>272454</v>
      </c>
      <c r="AL63" s="167">
        <f t="shared" si="14"/>
        <v>15388.201920000007</v>
      </c>
      <c r="AM63" s="167" t="str">
        <f t="shared" si="15"/>
        <v/>
      </c>
    </row>
    <row r="64" spans="1:39" x14ac:dyDescent="0.25">
      <c r="A64" s="128" t="s">
        <v>211</v>
      </c>
      <c r="B64" s="128" t="s">
        <v>42</v>
      </c>
      <c r="C64" s="128" t="s">
        <v>251</v>
      </c>
      <c r="D64" s="128"/>
      <c r="E64" s="128">
        <v>1</v>
      </c>
      <c r="F64" s="128"/>
      <c r="G64" s="128">
        <v>0</v>
      </c>
      <c r="H64" s="128">
        <v>0</v>
      </c>
      <c r="I64" s="128">
        <v>0</v>
      </c>
      <c r="J64" s="99" t="s">
        <v>142</v>
      </c>
      <c r="K64" s="42" t="s">
        <v>48</v>
      </c>
      <c r="L64" s="37">
        <v>4.5</v>
      </c>
      <c r="M64" s="37"/>
      <c r="N64" s="42"/>
      <c r="O64" s="42">
        <v>1</v>
      </c>
      <c r="P64" s="42"/>
      <c r="Q64" s="42"/>
      <c r="R64" s="37"/>
      <c r="S64" s="38">
        <v>600</v>
      </c>
      <c r="T64" s="43" t="s">
        <v>46</v>
      </c>
      <c r="U64" s="39">
        <v>629.4</v>
      </c>
      <c r="V64" s="25">
        <f t="shared" si="8"/>
        <v>29.399999999999977</v>
      </c>
      <c r="W64" s="44"/>
      <c r="X64" s="45"/>
      <c r="Y64" s="124">
        <v>1</v>
      </c>
      <c r="Z64" s="124"/>
      <c r="AA64" s="124"/>
      <c r="AB64" s="124">
        <v>5.95</v>
      </c>
      <c r="AC64" s="130">
        <f t="shared" si="17"/>
        <v>5.95</v>
      </c>
      <c r="AD64" s="45">
        <v>7</v>
      </c>
      <c r="AE64" s="46">
        <v>320</v>
      </c>
      <c r="AF64" s="47">
        <v>74</v>
      </c>
      <c r="AG64" s="167">
        <f t="shared" si="9"/>
        <v>21.574699999999986</v>
      </c>
      <c r="AH64" s="168" t="str">
        <f t="shared" si="10"/>
        <v/>
      </c>
      <c r="AI64" s="168">
        <f t="shared" si="11"/>
        <v>93.295999999999935</v>
      </c>
      <c r="AJ64" s="167" t="str">
        <f t="shared" si="12"/>
        <v/>
      </c>
      <c r="AK64" s="167">
        <f t="shared" si="13"/>
        <v>693056</v>
      </c>
      <c r="AL64" s="167">
        <f t="shared" si="14"/>
        <v>33959.743999999977</v>
      </c>
      <c r="AM64" s="167" t="str">
        <f t="shared" si="15"/>
        <v/>
      </c>
    </row>
    <row r="65" spans="1:39" x14ac:dyDescent="0.25">
      <c r="A65" s="128" t="s">
        <v>252</v>
      </c>
      <c r="B65" s="128" t="s">
        <v>42</v>
      </c>
      <c r="C65" s="128" t="s">
        <v>253</v>
      </c>
      <c r="D65" s="128"/>
      <c r="E65" s="128">
        <v>1</v>
      </c>
      <c r="F65" s="128"/>
      <c r="G65" s="128">
        <v>1</v>
      </c>
      <c r="H65" s="128">
        <v>1</v>
      </c>
      <c r="I65" s="128">
        <v>0</v>
      </c>
      <c r="J65" s="99" t="s">
        <v>142</v>
      </c>
      <c r="K65" s="42" t="s">
        <v>48</v>
      </c>
      <c r="L65" s="37">
        <v>4.5</v>
      </c>
      <c r="M65" s="37"/>
      <c r="N65" s="42"/>
      <c r="O65" s="42">
        <v>1</v>
      </c>
      <c r="P65" s="42"/>
      <c r="Q65" s="42"/>
      <c r="R65" s="37"/>
      <c r="S65" s="38">
        <v>600</v>
      </c>
      <c r="T65" s="43" t="s">
        <v>46</v>
      </c>
      <c r="U65" s="39">
        <v>598.21730769999999</v>
      </c>
      <c r="V65" s="25">
        <f t="shared" si="8"/>
        <v>-1.7826923000000079</v>
      </c>
      <c r="W65" s="44"/>
      <c r="X65" s="45"/>
      <c r="Y65" s="124">
        <v>1</v>
      </c>
      <c r="Z65" s="124"/>
      <c r="AA65" s="124"/>
      <c r="AB65" s="124">
        <v>5.29</v>
      </c>
      <c r="AC65" s="130">
        <f t="shared" si="17"/>
        <v>5.29</v>
      </c>
      <c r="AD65" s="45">
        <v>7</v>
      </c>
      <c r="AE65" s="46">
        <v>400</v>
      </c>
      <c r="AF65" s="47">
        <v>168</v>
      </c>
      <c r="AG65" s="167" t="str">
        <f t="shared" si="9"/>
        <v/>
      </c>
      <c r="AH65" s="168">
        <f t="shared" si="10"/>
        <v>-2.6405238347600117</v>
      </c>
      <c r="AI65" s="168" t="str">
        <f t="shared" si="11"/>
        <v/>
      </c>
      <c r="AJ65" s="167">
        <f t="shared" si="12"/>
        <v>-6.2869615113333612</v>
      </c>
      <c r="AK65" s="167">
        <f t="shared" si="13"/>
        <v>770224</v>
      </c>
      <c r="AL65" s="167" t="str">
        <f t="shared" si="14"/>
        <v/>
      </c>
      <c r="AM65" s="167">
        <f t="shared" si="15"/>
        <v>2288.4539901253438</v>
      </c>
    </row>
    <row r="66" spans="1:39" x14ac:dyDescent="0.25">
      <c r="A66" s="128" t="s">
        <v>328</v>
      </c>
      <c r="B66" s="128" t="s">
        <v>42</v>
      </c>
      <c r="C66" s="128" t="s">
        <v>254</v>
      </c>
      <c r="D66" s="128"/>
      <c r="E66" s="128">
        <v>1</v>
      </c>
      <c r="F66" s="128"/>
      <c r="G66" s="128">
        <v>0</v>
      </c>
      <c r="H66" s="128">
        <v>0</v>
      </c>
      <c r="I66" s="128">
        <v>0</v>
      </c>
      <c r="J66" s="99" t="s">
        <v>140</v>
      </c>
      <c r="K66" s="42" t="s">
        <v>329</v>
      </c>
      <c r="L66" s="37">
        <v>4.5</v>
      </c>
      <c r="M66" s="37"/>
      <c r="N66" s="42"/>
      <c r="O66" s="42"/>
      <c r="P66" s="42">
        <v>1</v>
      </c>
      <c r="Q66" s="42"/>
      <c r="R66" s="37"/>
      <c r="S66" s="38">
        <v>600</v>
      </c>
      <c r="T66" s="43" t="s">
        <v>46</v>
      </c>
      <c r="U66" s="39">
        <v>646.52</v>
      </c>
      <c r="V66" s="25">
        <f t="shared" si="8"/>
        <v>46.519999999999982</v>
      </c>
      <c r="W66" s="44"/>
      <c r="X66" s="45"/>
      <c r="Y66" s="124">
        <v>1</v>
      </c>
      <c r="Z66" s="124"/>
      <c r="AA66" s="124"/>
      <c r="AB66" s="124">
        <v>5.99</v>
      </c>
      <c r="AC66" s="130">
        <f t="shared" si="17"/>
        <v>5.99</v>
      </c>
      <c r="AD66" s="45">
        <v>7</v>
      </c>
      <c r="AE66" s="46">
        <v>80</v>
      </c>
      <c r="AF66" s="47">
        <v>79</v>
      </c>
      <c r="AG66" s="167">
        <f t="shared" si="9"/>
        <v>36.689548666666653</v>
      </c>
      <c r="AH66" s="168" t="str">
        <f t="shared" si="10"/>
        <v/>
      </c>
      <c r="AI66" s="168">
        <f t="shared" si="11"/>
        <v>37.153973333333319</v>
      </c>
      <c r="AJ66" s="167" t="str">
        <f t="shared" si="12"/>
        <v/>
      </c>
      <c r="AK66" s="167">
        <f t="shared" si="13"/>
        <v>174428.80000000002</v>
      </c>
      <c r="AL66" s="167">
        <f t="shared" si="14"/>
        <v>13524.046293333327</v>
      </c>
      <c r="AM66" s="167" t="str">
        <f t="shared" si="15"/>
        <v/>
      </c>
    </row>
    <row r="67" spans="1:39" x14ac:dyDescent="0.25">
      <c r="A67" s="128"/>
      <c r="B67" s="128"/>
      <c r="C67" s="128"/>
      <c r="D67" s="128"/>
      <c r="E67" s="128">
        <v>1</v>
      </c>
      <c r="F67" s="128"/>
      <c r="G67" s="128">
        <v>0</v>
      </c>
      <c r="H67" s="128">
        <v>0</v>
      </c>
      <c r="I67" s="128">
        <v>0</v>
      </c>
      <c r="J67" s="99" t="s">
        <v>142</v>
      </c>
      <c r="K67" s="42" t="s">
        <v>48</v>
      </c>
      <c r="L67" s="37">
        <v>4.5</v>
      </c>
      <c r="M67" s="37"/>
      <c r="N67" s="42"/>
      <c r="O67" s="42">
        <v>1</v>
      </c>
      <c r="P67" s="42"/>
      <c r="Q67" s="42"/>
      <c r="R67" s="37"/>
      <c r="S67" s="38">
        <v>600</v>
      </c>
      <c r="T67" s="43" t="s">
        <v>46</v>
      </c>
      <c r="U67" s="39">
        <v>600.72247000000004</v>
      </c>
      <c r="V67" s="25">
        <f t="shared" si="8"/>
        <v>0.72247000000004391</v>
      </c>
      <c r="W67" s="44"/>
      <c r="X67" s="45"/>
      <c r="Y67" s="124">
        <v>1</v>
      </c>
      <c r="Z67" s="124"/>
      <c r="AA67" s="124"/>
      <c r="AB67" s="124">
        <v>5.29</v>
      </c>
      <c r="AC67" s="130">
        <f t="shared" si="17"/>
        <v>5.29</v>
      </c>
      <c r="AD67" s="45">
        <v>7</v>
      </c>
      <c r="AE67" s="46">
        <v>400</v>
      </c>
      <c r="AF67" s="47">
        <v>60</v>
      </c>
      <c r="AG67" s="167">
        <f t="shared" si="9"/>
        <v>0.38218663000002329</v>
      </c>
      <c r="AH67" s="168" t="str">
        <f t="shared" si="10"/>
        <v/>
      </c>
      <c r="AI67" s="168">
        <f t="shared" si="11"/>
        <v>2.5479108666668218</v>
      </c>
      <c r="AJ67" s="167" t="str">
        <f t="shared" si="12"/>
        <v/>
      </c>
      <c r="AK67" s="167">
        <f t="shared" si="13"/>
        <v>770224</v>
      </c>
      <c r="AL67" s="167">
        <f t="shared" si="14"/>
        <v>927.43955546672316</v>
      </c>
      <c r="AM67" s="167" t="str">
        <f t="shared" si="15"/>
        <v/>
      </c>
    </row>
    <row r="68" spans="1:39" x14ac:dyDescent="0.25">
      <c r="A68" s="128" t="s">
        <v>330</v>
      </c>
      <c r="B68" s="128" t="s">
        <v>203</v>
      </c>
      <c r="C68" s="128" t="s">
        <v>255</v>
      </c>
      <c r="D68" s="128"/>
      <c r="E68" s="128">
        <v>1</v>
      </c>
      <c r="F68" s="128"/>
      <c r="G68" s="128">
        <v>1</v>
      </c>
      <c r="H68" s="128">
        <v>1</v>
      </c>
      <c r="I68" s="128">
        <v>0</v>
      </c>
      <c r="J68" s="99" t="s">
        <v>141</v>
      </c>
      <c r="K68" s="42" t="s">
        <v>204</v>
      </c>
      <c r="L68" s="37">
        <v>4.5</v>
      </c>
      <c r="M68" s="37"/>
      <c r="N68" s="42"/>
      <c r="O68" s="42">
        <v>1</v>
      </c>
      <c r="P68" s="42"/>
      <c r="Q68" s="42"/>
      <c r="R68" s="37"/>
      <c r="S68" s="38">
        <v>600</v>
      </c>
      <c r="T68" s="43" t="s">
        <v>46</v>
      </c>
      <c r="U68" s="39">
        <v>595.46370000000002</v>
      </c>
      <c r="V68" s="25">
        <f t="shared" si="8"/>
        <v>-4.5362999999999829</v>
      </c>
      <c r="W68" s="44"/>
      <c r="X68" s="45"/>
      <c r="Y68" s="124">
        <v>1</v>
      </c>
      <c r="Z68" s="124"/>
      <c r="AA68" s="124"/>
      <c r="AB68" s="124">
        <v>6</v>
      </c>
      <c r="AC68" s="130">
        <f t="shared" si="17"/>
        <v>6</v>
      </c>
      <c r="AD68" s="45">
        <v>7</v>
      </c>
      <c r="AE68" s="46">
        <v>120</v>
      </c>
      <c r="AF68" s="47">
        <v>81</v>
      </c>
      <c r="AG68" s="167" t="str">
        <f t="shared" si="9"/>
        <v/>
      </c>
      <c r="AH68" s="168">
        <f t="shared" si="10"/>
        <v>-3.6744029999999861</v>
      </c>
      <c r="AI68" s="168" t="str">
        <f t="shared" si="11"/>
        <v/>
      </c>
      <c r="AJ68" s="167">
        <f t="shared" si="12"/>
        <v>-5.4435599999999793</v>
      </c>
      <c r="AK68" s="167">
        <f t="shared" si="13"/>
        <v>262080</v>
      </c>
      <c r="AL68" s="167" t="str">
        <f t="shared" si="14"/>
        <v/>
      </c>
      <c r="AM68" s="167">
        <f t="shared" si="15"/>
        <v>1981.4558399999926</v>
      </c>
    </row>
    <row r="69" spans="1:39" x14ac:dyDescent="0.25">
      <c r="A69" s="128"/>
      <c r="B69" s="128"/>
      <c r="C69" s="128"/>
      <c r="D69" s="128"/>
      <c r="E69" s="128">
        <v>1</v>
      </c>
      <c r="F69" s="128"/>
      <c r="G69" s="128">
        <v>1</v>
      </c>
      <c r="H69" s="128">
        <v>1</v>
      </c>
      <c r="I69" s="128">
        <v>0</v>
      </c>
      <c r="J69" s="99" t="s">
        <v>142</v>
      </c>
      <c r="K69" s="42" t="s">
        <v>48</v>
      </c>
      <c r="L69" s="37">
        <v>4.5</v>
      </c>
      <c r="M69" s="37"/>
      <c r="N69" s="42"/>
      <c r="O69" s="42">
        <v>1</v>
      </c>
      <c r="P69" s="42"/>
      <c r="Q69" s="42"/>
      <c r="R69" s="37"/>
      <c r="S69" s="38">
        <v>600</v>
      </c>
      <c r="T69" s="43" t="s">
        <v>46</v>
      </c>
      <c r="U69" s="39">
        <v>599.24910999999997</v>
      </c>
      <c r="V69" s="25">
        <f t="shared" si="8"/>
        <v>-0.7508900000000267</v>
      </c>
      <c r="W69" s="44"/>
      <c r="X69" s="45"/>
      <c r="Y69" s="124">
        <v>1</v>
      </c>
      <c r="Z69" s="124"/>
      <c r="AA69" s="124"/>
      <c r="AB69" s="124">
        <v>6.59</v>
      </c>
      <c r="AC69" s="130">
        <f t="shared" si="17"/>
        <v>6.59</v>
      </c>
      <c r="AD69" s="45">
        <v>7</v>
      </c>
      <c r="AE69" s="46">
        <v>150</v>
      </c>
      <c r="AF69" s="47">
        <v>150</v>
      </c>
      <c r="AG69" s="167" t="str">
        <f t="shared" si="9"/>
        <v/>
      </c>
      <c r="AH69" s="168">
        <f t="shared" si="10"/>
        <v>-1.237091275000044</v>
      </c>
      <c r="AI69" s="168" t="str">
        <f t="shared" si="11"/>
        <v/>
      </c>
      <c r="AJ69" s="167">
        <f t="shared" si="12"/>
        <v>-1.237091275000044</v>
      </c>
      <c r="AK69" s="167">
        <f t="shared" si="13"/>
        <v>359814</v>
      </c>
      <c r="AL69" s="167" t="str">
        <f t="shared" si="14"/>
        <v/>
      </c>
      <c r="AM69" s="167">
        <f t="shared" si="15"/>
        <v>450.30122410001604</v>
      </c>
    </row>
    <row r="70" spans="1:39" x14ac:dyDescent="0.25">
      <c r="A70" s="128" t="s">
        <v>331</v>
      </c>
      <c r="B70" s="128" t="s">
        <v>42</v>
      </c>
      <c r="C70" s="128" t="s">
        <v>256</v>
      </c>
      <c r="D70" s="128"/>
      <c r="E70" s="128">
        <v>1</v>
      </c>
      <c r="F70" s="128"/>
      <c r="G70" s="128">
        <v>0</v>
      </c>
      <c r="H70" s="128">
        <v>0</v>
      </c>
      <c r="I70" s="128">
        <v>0</v>
      </c>
      <c r="J70" s="99" t="s">
        <v>142</v>
      </c>
      <c r="K70" s="42" t="s">
        <v>48</v>
      </c>
      <c r="L70" s="37">
        <v>4.5</v>
      </c>
      <c r="M70" s="37"/>
      <c r="N70" s="42"/>
      <c r="O70" s="42">
        <v>1</v>
      </c>
      <c r="P70" s="42"/>
      <c r="Q70" s="42"/>
      <c r="R70" s="37"/>
      <c r="S70" s="38">
        <v>700</v>
      </c>
      <c r="T70" s="43" t="s">
        <v>46</v>
      </c>
      <c r="U70" s="39">
        <v>711.77599999999995</v>
      </c>
      <c r="V70" s="25">
        <f t="shared" si="8"/>
        <v>11.775999999999954</v>
      </c>
      <c r="W70" s="44"/>
      <c r="X70" s="45"/>
      <c r="Y70" s="124">
        <v>1</v>
      </c>
      <c r="Z70" s="124"/>
      <c r="AA70" s="124"/>
      <c r="AB70" s="124">
        <v>7.75</v>
      </c>
      <c r="AC70" s="130">
        <f t="shared" si="17"/>
        <v>7.75</v>
      </c>
      <c r="AD70" s="45">
        <v>7</v>
      </c>
      <c r="AE70" s="46">
        <v>360</v>
      </c>
      <c r="AF70" s="47">
        <v>68</v>
      </c>
      <c r="AG70" s="167">
        <f t="shared" si="9"/>
        <v>8.8656457142856784</v>
      </c>
      <c r="AH70" s="168" t="str">
        <f t="shared" si="10"/>
        <v/>
      </c>
      <c r="AI70" s="168">
        <f t="shared" si="11"/>
        <v>46.935771428571236</v>
      </c>
      <c r="AJ70" s="167" t="str">
        <f t="shared" si="12"/>
        <v/>
      </c>
      <c r="AK70" s="167">
        <f t="shared" si="13"/>
        <v>1015560</v>
      </c>
      <c r="AL70" s="167">
        <f t="shared" si="14"/>
        <v>17084.620799999931</v>
      </c>
      <c r="AM70" s="167" t="str">
        <f t="shared" si="15"/>
        <v/>
      </c>
    </row>
    <row r="71" spans="1:39" x14ac:dyDescent="0.25">
      <c r="A71" s="128" t="s">
        <v>257</v>
      </c>
      <c r="B71" s="128" t="s">
        <v>42</v>
      </c>
      <c r="C71" s="128" t="s">
        <v>258</v>
      </c>
      <c r="D71" s="128"/>
      <c r="E71" s="128">
        <v>1</v>
      </c>
      <c r="F71" s="128"/>
      <c r="G71" s="128">
        <v>0</v>
      </c>
      <c r="H71" s="128">
        <v>0</v>
      </c>
      <c r="I71" s="128">
        <v>0</v>
      </c>
      <c r="J71" s="99" t="s">
        <v>142</v>
      </c>
      <c r="K71" s="42" t="s">
        <v>48</v>
      </c>
      <c r="L71" s="37">
        <v>4.5</v>
      </c>
      <c r="M71" s="37"/>
      <c r="N71" s="42"/>
      <c r="O71" s="42">
        <v>1</v>
      </c>
      <c r="P71" s="42"/>
      <c r="Q71" s="42"/>
      <c r="R71" s="37"/>
      <c r="S71" s="38">
        <v>600</v>
      </c>
      <c r="T71" s="43" t="s">
        <v>46</v>
      </c>
      <c r="U71" s="39">
        <v>700.88</v>
      </c>
      <c r="V71" s="25">
        <f t="shared" si="8"/>
        <v>100.88</v>
      </c>
      <c r="W71" s="44"/>
      <c r="X71" s="45"/>
      <c r="Y71" s="124">
        <v>1</v>
      </c>
      <c r="Z71" s="124"/>
      <c r="AA71" s="124"/>
      <c r="AB71" s="124">
        <v>6.6</v>
      </c>
      <c r="AC71" s="130">
        <f t="shared" si="17"/>
        <v>6.6</v>
      </c>
      <c r="AD71" s="45">
        <v>7</v>
      </c>
      <c r="AE71" s="46">
        <v>180</v>
      </c>
      <c r="AF71" s="47">
        <v>102</v>
      </c>
      <c r="AG71" s="167">
        <f t="shared" si="9"/>
        <v>113.18735999999998</v>
      </c>
      <c r="AH71" s="168" t="str">
        <f t="shared" si="10"/>
        <v/>
      </c>
      <c r="AI71" s="168">
        <f t="shared" si="11"/>
        <v>199.74239999999995</v>
      </c>
      <c r="AJ71" s="167" t="str">
        <f t="shared" si="12"/>
        <v/>
      </c>
      <c r="AK71" s="167">
        <f t="shared" si="13"/>
        <v>432432</v>
      </c>
      <c r="AL71" s="167">
        <f t="shared" si="14"/>
        <v>72706.233599999978</v>
      </c>
      <c r="AM71" s="167" t="str">
        <f t="shared" si="15"/>
        <v/>
      </c>
    </row>
    <row r="72" spans="1:39" x14ac:dyDescent="0.25">
      <c r="A72" s="128"/>
      <c r="B72" s="128"/>
      <c r="C72" s="128"/>
      <c r="D72" s="128"/>
      <c r="E72" s="128">
        <v>1</v>
      </c>
      <c r="F72" s="128"/>
      <c r="G72" s="128">
        <v>0</v>
      </c>
      <c r="H72" s="128">
        <v>0</v>
      </c>
      <c r="I72" s="128">
        <v>0</v>
      </c>
      <c r="J72" s="99" t="s">
        <v>141</v>
      </c>
      <c r="K72" s="42" t="s">
        <v>204</v>
      </c>
      <c r="L72" s="37">
        <v>4.5</v>
      </c>
      <c r="M72" s="37"/>
      <c r="N72" s="42"/>
      <c r="O72" s="42">
        <v>1</v>
      </c>
      <c r="P72" s="42"/>
      <c r="Q72" s="42"/>
      <c r="R72" s="37"/>
      <c r="S72" s="38">
        <v>600</v>
      </c>
      <c r="T72" s="43" t="s">
        <v>46</v>
      </c>
      <c r="U72" s="39">
        <v>697.8</v>
      </c>
      <c r="V72" s="25">
        <f t="shared" si="8"/>
        <v>97.799999999999955</v>
      </c>
      <c r="W72" s="44"/>
      <c r="X72" s="45"/>
      <c r="Y72" s="124">
        <v>1</v>
      </c>
      <c r="Z72" s="124"/>
      <c r="AA72" s="124"/>
      <c r="AB72" s="124">
        <v>6</v>
      </c>
      <c r="AC72" s="130">
        <f t="shared" si="17"/>
        <v>6</v>
      </c>
      <c r="AD72" s="45">
        <v>7</v>
      </c>
      <c r="AE72" s="46">
        <v>180</v>
      </c>
      <c r="AF72" s="47">
        <v>151</v>
      </c>
      <c r="AG72" s="167">
        <f t="shared" si="9"/>
        <v>147.67799999999994</v>
      </c>
      <c r="AH72" s="168" t="str">
        <f t="shared" si="10"/>
        <v/>
      </c>
      <c r="AI72" s="168">
        <f t="shared" si="11"/>
        <v>176.03999999999991</v>
      </c>
      <c r="AJ72" s="167" t="str">
        <f t="shared" si="12"/>
        <v/>
      </c>
      <c r="AK72" s="167">
        <f t="shared" si="13"/>
        <v>393120</v>
      </c>
      <c r="AL72" s="167">
        <f t="shared" si="14"/>
        <v>64078.559999999961</v>
      </c>
      <c r="AM72" s="167" t="str">
        <f t="shared" si="15"/>
        <v/>
      </c>
    </row>
    <row r="73" spans="1:39" x14ac:dyDescent="0.25">
      <c r="A73" s="128" t="s">
        <v>332</v>
      </c>
      <c r="B73" s="128" t="s">
        <v>42</v>
      </c>
      <c r="C73" s="128" t="s">
        <v>259</v>
      </c>
      <c r="D73" s="128"/>
      <c r="E73" s="128">
        <v>1</v>
      </c>
      <c r="F73" s="128"/>
      <c r="G73" s="128">
        <v>0</v>
      </c>
      <c r="H73" s="128">
        <v>0</v>
      </c>
      <c r="I73" s="128">
        <v>0</v>
      </c>
      <c r="J73" s="99" t="s">
        <v>142</v>
      </c>
      <c r="K73" s="42" t="s">
        <v>48</v>
      </c>
      <c r="L73" s="37">
        <v>4.5</v>
      </c>
      <c r="M73" s="37"/>
      <c r="N73" s="42"/>
      <c r="O73" s="42">
        <v>1</v>
      </c>
      <c r="P73" s="42"/>
      <c r="Q73" s="42"/>
      <c r="R73" s="37"/>
      <c r="S73" s="38">
        <v>600</v>
      </c>
      <c r="T73" s="43" t="s">
        <v>46</v>
      </c>
      <c r="U73" s="39">
        <v>638.55999999999995</v>
      </c>
      <c r="V73" s="25">
        <f t="shared" si="8"/>
        <v>38.559999999999945</v>
      </c>
      <c r="W73" s="44"/>
      <c r="X73" s="45"/>
      <c r="Y73" s="124">
        <v>1</v>
      </c>
      <c r="Z73" s="124"/>
      <c r="AA73" s="124"/>
      <c r="AB73" s="124">
        <v>6.49</v>
      </c>
      <c r="AC73" s="130">
        <f t="shared" si="17"/>
        <v>6.49</v>
      </c>
      <c r="AD73" s="45">
        <v>7</v>
      </c>
      <c r="AE73" s="46">
        <v>400</v>
      </c>
      <c r="AF73" s="47">
        <v>121</v>
      </c>
      <c r="AG73" s="167">
        <f t="shared" ref="AG73:AG136" si="18">IF((-S73+U73)&lt;0,"",(AC73/S73)*V73*AF73)</f>
        <v>50.467970666666602</v>
      </c>
      <c r="AH73" s="168" t="str">
        <f t="shared" ref="AH73:AH136" si="19">IF((-S73+U73)&gt;0,"",(AC73/S73)*V73*AF73)</f>
        <v/>
      </c>
      <c r="AI73" s="168">
        <f t="shared" ref="AI73:AI136" si="20">IF((-S73+U73)&lt;0,"",(AC73/S73)*V73*AE73)</f>
        <v>166.83626666666643</v>
      </c>
      <c r="AJ73" s="167" t="str">
        <f t="shared" ref="AJ73:AJ136" si="21">IF((-S73+U73)&gt;0,"",(AC73/S73)*V73*AE73)</f>
        <v/>
      </c>
      <c r="AK73" s="167">
        <f t="shared" ref="AK73:AK136" si="22">AC73*AE73*AD73*52</f>
        <v>944944</v>
      </c>
      <c r="AL73" s="167">
        <f t="shared" ref="AL73:AL136" si="23">IF((-S73+U73)&lt;0,"",AI73*AD73*52)</f>
        <v>60728.401066666578</v>
      </c>
      <c r="AM73" s="167" t="str">
        <f t="shared" ref="AM73:AM136" si="24">IF((-S73+U73)&gt;0,"",-AJ73*AD73*52)</f>
        <v/>
      </c>
    </row>
    <row r="74" spans="1:39" x14ac:dyDescent="0.25">
      <c r="A74" s="128"/>
      <c r="B74" s="128"/>
      <c r="C74" s="128"/>
      <c r="D74" s="128"/>
      <c r="E74" s="128">
        <v>1</v>
      </c>
      <c r="F74" s="128"/>
      <c r="G74" s="128">
        <v>0</v>
      </c>
      <c r="H74" s="128">
        <v>0</v>
      </c>
      <c r="I74" s="128">
        <v>0</v>
      </c>
      <c r="J74" s="99" t="s">
        <v>141</v>
      </c>
      <c r="K74" s="42" t="s">
        <v>204</v>
      </c>
      <c r="L74" s="37">
        <v>4.5</v>
      </c>
      <c r="M74" s="37"/>
      <c r="N74" s="42"/>
      <c r="O74" s="42">
        <v>1</v>
      </c>
      <c r="P74" s="42"/>
      <c r="Q74" s="42"/>
      <c r="R74" s="37"/>
      <c r="S74" s="38">
        <v>600</v>
      </c>
      <c r="T74" s="43" t="s">
        <v>46</v>
      </c>
      <c r="U74" s="39">
        <v>643.12</v>
      </c>
      <c r="V74" s="25">
        <f t="shared" si="8"/>
        <v>43.120000000000005</v>
      </c>
      <c r="W74" s="44"/>
      <c r="X74" s="45"/>
      <c r="Y74" s="124">
        <v>1</v>
      </c>
      <c r="Z74" s="124"/>
      <c r="AA74" s="124"/>
      <c r="AB74" s="124">
        <v>5.99</v>
      </c>
      <c r="AC74" s="130">
        <f t="shared" si="17"/>
        <v>5.99</v>
      </c>
      <c r="AD74" s="45">
        <v>7</v>
      </c>
      <c r="AE74" s="46">
        <v>200</v>
      </c>
      <c r="AF74" s="47">
        <v>74</v>
      </c>
      <c r="AG74" s="167">
        <f t="shared" si="18"/>
        <v>31.855618666666672</v>
      </c>
      <c r="AH74" s="168" t="str">
        <f t="shared" si="19"/>
        <v/>
      </c>
      <c r="AI74" s="168">
        <f t="shared" si="20"/>
        <v>86.096266666666679</v>
      </c>
      <c r="AJ74" s="167" t="str">
        <f t="shared" si="21"/>
        <v/>
      </c>
      <c r="AK74" s="167">
        <f t="shared" si="22"/>
        <v>436072</v>
      </c>
      <c r="AL74" s="167">
        <f t="shared" si="23"/>
        <v>31339.041066666672</v>
      </c>
      <c r="AM74" s="167" t="str">
        <f t="shared" si="24"/>
        <v/>
      </c>
    </row>
    <row r="75" spans="1:39" x14ac:dyDescent="0.25">
      <c r="A75" s="128" t="s">
        <v>333</v>
      </c>
      <c r="B75" s="128" t="s">
        <v>42</v>
      </c>
      <c r="C75" s="128" t="s">
        <v>260</v>
      </c>
      <c r="D75" s="128"/>
      <c r="E75" s="128">
        <v>1</v>
      </c>
      <c r="F75" s="128"/>
      <c r="G75" s="128">
        <v>0</v>
      </c>
      <c r="H75" s="128">
        <v>0</v>
      </c>
      <c r="I75" s="128">
        <v>0</v>
      </c>
      <c r="J75" s="99" t="s">
        <v>141</v>
      </c>
      <c r="K75" s="42" t="s">
        <v>204</v>
      </c>
      <c r="L75" s="37">
        <v>4.5</v>
      </c>
      <c r="M75" s="37">
        <v>42</v>
      </c>
      <c r="N75" s="42"/>
      <c r="O75" s="42"/>
      <c r="P75" s="42"/>
      <c r="Q75" s="42"/>
      <c r="R75" s="37"/>
      <c r="S75" s="38">
        <v>600</v>
      </c>
      <c r="T75" s="43" t="s">
        <v>46</v>
      </c>
      <c r="U75" s="39">
        <v>615.09</v>
      </c>
      <c r="V75" s="25">
        <f t="shared" ref="V75:V119" si="25">-S75+U75</f>
        <v>15.090000000000032</v>
      </c>
      <c r="W75" s="44"/>
      <c r="X75" s="45"/>
      <c r="Y75" s="124">
        <v>1</v>
      </c>
      <c r="Z75" s="124"/>
      <c r="AA75" s="124"/>
      <c r="AB75" s="124">
        <v>5.95</v>
      </c>
      <c r="AC75" s="130">
        <f t="shared" si="17"/>
        <v>5.95</v>
      </c>
      <c r="AD75" s="45">
        <v>7</v>
      </c>
      <c r="AE75" s="46">
        <v>48</v>
      </c>
      <c r="AF75" s="47">
        <v>42</v>
      </c>
      <c r="AG75" s="167">
        <f t="shared" si="18"/>
        <v>6.2849850000000131</v>
      </c>
      <c r="AH75" s="168" t="str">
        <f t="shared" si="19"/>
        <v/>
      </c>
      <c r="AI75" s="168">
        <f t="shared" si="20"/>
        <v>7.1828400000000148</v>
      </c>
      <c r="AJ75" s="167" t="str">
        <f t="shared" si="21"/>
        <v/>
      </c>
      <c r="AK75" s="167">
        <f t="shared" si="22"/>
        <v>103958.40000000001</v>
      </c>
      <c r="AL75" s="167">
        <f t="shared" si="23"/>
        <v>2614.5537600000052</v>
      </c>
      <c r="AM75" s="167" t="str">
        <f t="shared" si="24"/>
        <v/>
      </c>
    </row>
    <row r="76" spans="1:39" x14ac:dyDescent="0.25">
      <c r="A76" s="128" t="s">
        <v>334</v>
      </c>
      <c r="B76" s="128" t="s">
        <v>203</v>
      </c>
      <c r="C76" s="128" t="s">
        <v>261</v>
      </c>
      <c r="D76" s="128"/>
      <c r="E76" s="128">
        <v>1</v>
      </c>
      <c r="F76" s="128"/>
      <c r="G76" s="128">
        <v>1</v>
      </c>
      <c r="H76" s="128">
        <v>1</v>
      </c>
      <c r="I76" s="128">
        <v>0</v>
      </c>
      <c r="J76" s="99" t="s">
        <v>141</v>
      </c>
      <c r="K76" s="42" t="s">
        <v>204</v>
      </c>
      <c r="L76" s="37">
        <v>4.5</v>
      </c>
      <c r="M76" s="37"/>
      <c r="N76" s="42"/>
      <c r="O76" s="42">
        <v>1</v>
      </c>
      <c r="P76" s="42"/>
      <c r="Q76" s="42"/>
      <c r="R76" s="37"/>
      <c r="S76" s="38">
        <v>600</v>
      </c>
      <c r="T76" s="43" t="s">
        <v>46</v>
      </c>
      <c r="U76" s="39">
        <v>592.70719999999994</v>
      </c>
      <c r="V76" s="25">
        <f t="shared" si="25"/>
        <v>-7.2928000000000566</v>
      </c>
      <c r="W76" s="44"/>
      <c r="X76" s="45"/>
      <c r="Y76" s="124">
        <v>1</v>
      </c>
      <c r="Z76" s="124"/>
      <c r="AA76" s="124"/>
      <c r="AB76" s="124">
        <v>5.3</v>
      </c>
      <c r="AC76" s="130">
        <f t="shared" si="17"/>
        <v>5.3</v>
      </c>
      <c r="AD76" s="45">
        <v>6</v>
      </c>
      <c r="AE76" s="46">
        <v>500</v>
      </c>
      <c r="AF76" s="47">
        <v>120</v>
      </c>
      <c r="AG76" s="167" t="str">
        <f t="shared" si="18"/>
        <v/>
      </c>
      <c r="AH76" s="168">
        <f t="shared" si="19"/>
        <v>-7.7303680000000607</v>
      </c>
      <c r="AI76" s="168" t="str">
        <f t="shared" si="20"/>
        <v/>
      </c>
      <c r="AJ76" s="167">
        <f t="shared" si="21"/>
        <v>-32.209866666666919</v>
      </c>
      <c r="AK76" s="167">
        <f t="shared" si="22"/>
        <v>826800</v>
      </c>
      <c r="AL76" s="167" t="str">
        <f t="shared" si="23"/>
        <v/>
      </c>
      <c r="AM76" s="167">
        <f t="shared" si="24"/>
        <v>10049.478400000078</v>
      </c>
    </row>
    <row r="77" spans="1:39" x14ac:dyDescent="0.25">
      <c r="A77" s="128"/>
      <c r="B77" s="128"/>
      <c r="C77" s="128"/>
      <c r="D77" s="128"/>
      <c r="E77" s="128">
        <v>1</v>
      </c>
      <c r="F77" s="128"/>
      <c r="G77" s="128">
        <v>1</v>
      </c>
      <c r="H77" s="128">
        <v>1</v>
      </c>
      <c r="I77" s="128">
        <v>0</v>
      </c>
      <c r="J77" s="99" t="s">
        <v>142</v>
      </c>
      <c r="K77" s="42" t="s">
        <v>48</v>
      </c>
      <c r="L77" s="37">
        <v>4.5</v>
      </c>
      <c r="M77" s="37"/>
      <c r="N77" s="42"/>
      <c r="O77" s="42">
        <v>1</v>
      </c>
      <c r="P77" s="42"/>
      <c r="Q77" s="42"/>
      <c r="R77" s="37"/>
      <c r="S77" s="38">
        <v>600</v>
      </c>
      <c r="T77" s="43" t="s">
        <v>46</v>
      </c>
      <c r="U77" s="39">
        <v>596.68610000000001</v>
      </c>
      <c r="V77" s="25">
        <f t="shared" si="25"/>
        <v>-3.3138999999999896</v>
      </c>
      <c r="W77" s="44"/>
      <c r="X77" s="45"/>
      <c r="Y77" s="124">
        <v>1</v>
      </c>
      <c r="Z77" s="124"/>
      <c r="AA77" s="124"/>
      <c r="AB77" s="124">
        <v>5.5</v>
      </c>
      <c r="AC77" s="130">
        <f t="shared" si="17"/>
        <v>5.5</v>
      </c>
      <c r="AD77" s="45">
        <v>6</v>
      </c>
      <c r="AE77" s="46">
        <v>500</v>
      </c>
      <c r="AF77" s="47">
        <v>120</v>
      </c>
      <c r="AG77" s="167" t="str">
        <f t="shared" si="18"/>
        <v/>
      </c>
      <c r="AH77" s="168">
        <f t="shared" si="19"/>
        <v>-3.6452899999999886</v>
      </c>
      <c r="AI77" s="168" t="str">
        <f t="shared" si="20"/>
        <v/>
      </c>
      <c r="AJ77" s="167">
        <f t="shared" si="21"/>
        <v>-15.188708333333286</v>
      </c>
      <c r="AK77" s="167">
        <f t="shared" si="22"/>
        <v>858000</v>
      </c>
      <c r="AL77" s="167" t="str">
        <f t="shared" si="23"/>
        <v/>
      </c>
      <c r="AM77" s="167">
        <f t="shared" si="24"/>
        <v>4738.8769999999849</v>
      </c>
    </row>
    <row r="78" spans="1:39" x14ac:dyDescent="0.25">
      <c r="A78" s="128" t="s">
        <v>335</v>
      </c>
      <c r="B78" s="128" t="s">
        <v>42</v>
      </c>
      <c r="C78" s="128" t="s">
        <v>336</v>
      </c>
      <c r="D78" s="128"/>
      <c r="E78" s="128">
        <v>1</v>
      </c>
      <c r="F78" s="128"/>
      <c r="G78" s="128">
        <v>1</v>
      </c>
      <c r="H78" s="128">
        <v>1</v>
      </c>
      <c r="I78" s="128">
        <v>0</v>
      </c>
      <c r="J78" s="99" t="s">
        <v>142</v>
      </c>
      <c r="K78" s="42" t="s">
        <v>48</v>
      </c>
      <c r="L78" s="37">
        <v>4.5</v>
      </c>
      <c r="M78" s="37"/>
      <c r="N78" s="42"/>
      <c r="O78" s="42">
        <v>1</v>
      </c>
      <c r="P78" s="42"/>
      <c r="Q78" s="42"/>
      <c r="R78" s="37"/>
      <c r="S78" s="38">
        <v>600</v>
      </c>
      <c r="T78" s="43" t="s">
        <v>46</v>
      </c>
      <c r="U78" s="39">
        <v>596.96400000000006</v>
      </c>
      <c r="V78" s="25">
        <f t="shared" si="25"/>
        <v>-3.0359999999999445</v>
      </c>
      <c r="W78" s="44"/>
      <c r="X78" s="45"/>
      <c r="Y78" s="124">
        <v>1</v>
      </c>
      <c r="Z78" s="124"/>
      <c r="AA78" s="124"/>
      <c r="AB78" s="124">
        <v>5.69</v>
      </c>
      <c r="AC78" s="130">
        <f t="shared" si="17"/>
        <v>5.69</v>
      </c>
      <c r="AD78" s="45">
        <v>7</v>
      </c>
      <c r="AE78" s="46">
        <v>450</v>
      </c>
      <c r="AF78" s="47">
        <v>98</v>
      </c>
      <c r="AG78" s="167" t="str">
        <f t="shared" si="18"/>
        <v/>
      </c>
      <c r="AH78" s="168">
        <f t="shared" si="19"/>
        <v>-2.8215571999999485</v>
      </c>
      <c r="AI78" s="168" t="str">
        <f t="shared" si="20"/>
        <v/>
      </c>
      <c r="AJ78" s="167">
        <f t="shared" si="21"/>
        <v>-12.956129999999764</v>
      </c>
      <c r="AK78" s="167">
        <f t="shared" si="22"/>
        <v>932022</v>
      </c>
      <c r="AL78" s="167" t="str">
        <f t="shared" si="23"/>
        <v/>
      </c>
      <c r="AM78" s="167">
        <f t="shared" si="24"/>
        <v>4716.0313199999146</v>
      </c>
    </row>
    <row r="79" spans="1:39" x14ac:dyDescent="0.25">
      <c r="A79" s="128"/>
      <c r="B79" s="128"/>
      <c r="C79" s="128"/>
      <c r="D79" s="128"/>
      <c r="E79" s="128">
        <v>1</v>
      </c>
      <c r="F79" s="128"/>
      <c r="G79" s="128">
        <v>0</v>
      </c>
      <c r="H79" s="128">
        <v>0</v>
      </c>
      <c r="I79" s="128">
        <v>0</v>
      </c>
      <c r="J79" s="99" t="s">
        <v>141</v>
      </c>
      <c r="K79" s="42" t="s">
        <v>204</v>
      </c>
      <c r="L79" s="37">
        <v>4.5</v>
      </c>
      <c r="M79" s="37"/>
      <c r="N79" s="42"/>
      <c r="O79" s="42">
        <v>1</v>
      </c>
      <c r="P79" s="42"/>
      <c r="Q79" s="42"/>
      <c r="R79" s="37"/>
      <c r="S79" s="38">
        <v>600</v>
      </c>
      <c r="T79" s="43" t="s">
        <v>46</v>
      </c>
      <c r="U79" s="39">
        <v>603.58140000000003</v>
      </c>
      <c r="V79" s="25">
        <f t="shared" si="25"/>
        <v>3.5814000000000306</v>
      </c>
      <c r="W79" s="44"/>
      <c r="X79" s="45"/>
      <c r="Y79" s="124">
        <v>1</v>
      </c>
      <c r="Z79" s="124"/>
      <c r="AA79" s="124"/>
      <c r="AB79" s="124">
        <v>3.99</v>
      </c>
      <c r="AC79" s="130">
        <f t="shared" si="17"/>
        <v>3.99</v>
      </c>
      <c r="AD79" s="45">
        <v>7</v>
      </c>
      <c r="AE79" s="46">
        <v>480</v>
      </c>
      <c r="AF79" s="47">
        <v>88</v>
      </c>
      <c r="AG79" s="167">
        <f t="shared" si="18"/>
        <v>2.095835280000018</v>
      </c>
      <c r="AH79" s="168" t="str">
        <f t="shared" si="19"/>
        <v/>
      </c>
      <c r="AI79" s="168">
        <f t="shared" si="20"/>
        <v>11.431828800000098</v>
      </c>
      <c r="AJ79" s="167" t="str">
        <f t="shared" si="21"/>
        <v/>
      </c>
      <c r="AK79" s="167">
        <f t="shared" si="22"/>
        <v>697132.79999999993</v>
      </c>
      <c r="AL79" s="167">
        <f t="shared" si="23"/>
        <v>4161.1856832000358</v>
      </c>
      <c r="AM79" s="167" t="str">
        <f t="shared" si="24"/>
        <v/>
      </c>
    </row>
    <row r="80" spans="1:39" x14ac:dyDescent="0.25">
      <c r="A80" s="128" t="s">
        <v>211</v>
      </c>
      <c r="B80" s="128" t="s">
        <v>42</v>
      </c>
      <c r="C80" s="128" t="s">
        <v>337</v>
      </c>
      <c r="D80" s="128"/>
      <c r="E80" s="128">
        <v>1</v>
      </c>
      <c r="F80" s="128"/>
      <c r="G80" s="128">
        <v>0</v>
      </c>
      <c r="H80" s="128">
        <v>0</v>
      </c>
      <c r="I80" s="128">
        <v>0</v>
      </c>
      <c r="J80" s="99" t="s">
        <v>142</v>
      </c>
      <c r="K80" s="42" t="s">
        <v>48</v>
      </c>
      <c r="L80" s="37">
        <v>4.5</v>
      </c>
      <c r="M80" s="37"/>
      <c r="N80" s="42"/>
      <c r="O80" s="42"/>
      <c r="P80" s="42">
        <v>1</v>
      </c>
      <c r="Q80" s="42"/>
      <c r="R80" s="37"/>
      <c r="S80" s="38">
        <v>600</v>
      </c>
      <c r="T80" s="43" t="s">
        <v>46</v>
      </c>
      <c r="U80" s="39">
        <v>627.125</v>
      </c>
      <c r="V80" s="25">
        <f t="shared" si="25"/>
        <v>27.125</v>
      </c>
      <c r="W80" s="44"/>
      <c r="X80" s="45"/>
      <c r="Y80" s="124">
        <v>1</v>
      </c>
      <c r="Z80" s="124"/>
      <c r="AA80" s="124"/>
      <c r="AB80" s="124">
        <v>6.2</v>
      </c>
      <c r="AC80" s="130">
        <f t="shared" si="17"/>
        <v>6.2</v>
      </c>
      <c r="AD80" s="45">
        <v>7</v>
      </c>
      <c r="AE80" s="46">
        <v>1920</v>
      </c>
      <c r="AF80" s="47">
        <v>271</v>
      </c>
      <c r="AG80" s="167">
        <f t="shared" si="18"/>
        <v>75.959041666666664</v>
      </c>
      <c r="AH80" s="168" t="str">
        <f t="shared" si="19"/>
        <v/>
      </c>
      <c r="AI80" s="168">
        <f t="shared" si="20"/>
        <v>538.16</v>
      </c>
      <c r="AJ80" s="167" t="str">
        <f t="shared" si="21"/>
        <v/>
      </c>
      <c r="AK80" s="167">
        <f t="shared" si="22"/>
        <v>4333056</v>
      </c>
      <c r="AL80" s="167">
        <f t="shared" si="23"/>
        <v>195890.24</v>
      </c>
      <c r="AM80" s="167" t="str">
        <f t="shared" si="24"/>
        <v/>
      </c>
    </row>
    <row r="81" spans="1:39" x14ac:dyDescent="0.25">
      <c r="A81" s="128"/>
      <c r="B81" s="128"/>
      <c r="C81" s="128"/>
      <c r="D81" s="128"/>
      <c r="E81" s="128">
        <v>1</v>
      </c>
      <c r="F81" s="128"/>
      <c r="G81" s="128">
        <v>0</v>
      </c>
      <c r="H81" s="128">
        <v>0</v>
      </c>
      <c r="I81" s="128">
        <v>0</v>
      </c>
      <c r="J81" s="99" t="s">
        <v>141</v>
      </c>
      <c r="K81" s="42" t="s">
        <v>204</v>
      </c>
      <c r="L81" s="37">
        <v>4.5</v>
      </c>
      <c r="M81" s="37"/>
      <c r="N81" s="42"/>
      <c r="O81" s="42"/>
      <c r="P81" s="42">
        <v>1</v>
      </c>
      <c r="Q81" s="42"/>
      <c r="R81" s="37"/>
      <c r="S81" s="38">
        <v>600</v>
      </c>
      <c r="T81" s="43" t="s">
        <v>46</v>
      </c>
      <c r="U81" s="39">
        <v>621.67499999999995</v>
      </c>
      <c r="V81" s="25">
        <f t="shared" si="25"/>
        <v>21.674999999999955</v>
      </c>
      <c r="W81" s="44"/>
      <c r="X81" s="45"/>
      <c r="Y81" s="124">
        <v>1</v>
      </c>
      <c r="Z81" s="124"/>
      <c r="AA81" s="124"/>
      <c r="AB81" s="124">
        <v>5.19</v>
      </c>
      <c r="AC81" s="130">
        <f t="shared" si="17"/>
        <v>5.19</v>
      </c>
      <c r="AD81" s="45">
        <v>7</v>
      </c>
      <c r="AE81" s="46">
        <v>720</v>
      </c>
      <c r="AF81" s="47">
        <v>140</v>
      </c>
      <c r="AG81" s="167">
        <f t="shared" si="18"/>
        <v>26.248424999999951</v>
      </c>
      <c r="AH81" s="168" t="str">
        <f t="shared" si="19"/>
        <v/>
      </c>
      <c r="AI81" s="168">
        <f t="shared" si="20"/>
        <v>134.99189999999976</v>
      </c>
      <c r="AJ81" s="167" t="str">
        <f t="shared" si="21"/>
        <v/>
      </c>
      <c r="AK81" s="167">
        <f t="shared" si="22"/>
        <v>1360195.2000000002</v>
      </c>
      <c r="AL81" s="167">
        <f t="shared" si="23"/>
        <v>49137.051599999912</v>
      </c>
      <c r="AM81" s="167" t="str">
        <f t="shared" si="24"/>
        <v/>
      </c>
    </row>
    <row r="82" spans="1:39" x14ac:dyDescent="0.25">
      <c r="A82" s="128" t="s">
        <v>338</v>
      </c>
      <c r="B82" s="128" t="s">
        <v>42</v>
      </c>
      <c r="C82" s="128" t="s">
        <v>339</v>
      </c>
      <c r="D82" s="128"/>
      <c r="E82" s="128">
        <v>1</v>
      </c>
      <c r="F82" s="128"/>
      <c r="G82" s="128">
        <v>1</v>
      </c>
      <c r="H82" s="128">
        <v>1</v>
      </c>
      <c r="I82" s="128">
        <v>0</v>
      </c>
      <c r="J82" s="99" t="s">
        <v>141</v>
      </c>
      <c r="K82" s="42" t="s">
        <v>204</v>
      </c>
      <c r="L82" s="37">
        <v>4.5</v>
      </c>
      <c r="M82" s="37">
        <v>45</v>
      </c>
      <c r="N82" s="42"/>
      <c r="O82" s="42"/>
      <c r="P82" s="42"/>
      <c r="Q82" s="42"/>
      <c r="R82" s="37"/>
      <c r="S82" s="38">
        <v>600</v>
      </c>
      <c r="T82" s="43" t="s">
        <v>46</v>
      </c>
      <c r="U82" s="39">
        <v>558.75059999999996</v>
      </c>
      <c r="V82" s="25">
        <f t="shared" si="25"/>
        <v>-41.249400000000037</v>
      </c>
      <c r="W82" s="44"/>
      <c r="X82" s="45"/>
      <c r="Y82" s="124">
        <v>1</v>
      </c>
      <c r="Z82" s="124"/>
      <c r="AA82" s="124"/>
      <c r="AB82" s="124">
        <v>5.19</v>
      </c>
      <c r="AC82" s="130">
        <f t="shared" si="17"/>
        <v>5.19</v>
      </c>
      <c r="AD82" s="45">
        <v>7</v>
      </c>
      <c r="AE82" s="46">
        <v>480</v>
      </c>
      <c r="AF82" s="47">
        <v>45</v>
      </c>
      <c r="AG82" s="167" t="str">
        <f t="shared" si="18"/>
        <v/>
      </c>
      <c r="AH82" s="168">
        <f t="shared" si="19"/>
        <v>-16.056328950000015</v>
      </c>
      <c r="AI82" s="168" t="str">
        <f t="shared" si="20"/>
        <v/>
      </c>
      <c r="AJ82" s="167">
        <f t="shared" si="21"/>
        <v>-171.26750880000017</v>
      </c>
      <c r="AK82" s="167">
        <f t="shared" si="22"/>
        <v>906796.8</v>
      </c>
      <c r="AL82" s="167" t="str">
        <f t="shared" si="23"/>
        <v/>
      </c>
      <c r="AM82" s="167">
        <f t="shared" si="24"/>
        <v>62341.37320320007</v>
      </c>
    </row>
    <row r="83" spans="1:39" x14ac:dyDescent="0.25">
      <c r="A83" s="128"/>
      <c r="B83" s="128"/>
      <c r="C83" s="128"/>
      <c r="D83" s="128"/>
      <c r="E83" s="128">
        <v>1</v>
      </c>
      <c r="F83" s="128"/>
      <c r="G83" s="128">
        <v>0</v>
      </c>
      <c r="H83" s="128">
        <v>0</v>
      </c>
      <c r="I83" s="128">
        <v>0</v>
      </c>
      <c r="J83" s="99" t="s">
        <v>142</v>
      </c>
      <c r="K83" s="42" t="s">
        <v>48</v>
      </c>
      <c r="L83" s="37">
        <v>4.5</v>
      </c>
      <c r="M83" s="37"/>
      <c r="N83" s="42"/>
      <c r="O83" s="42">
        <v>1</v>
      </c>
      <c r="P83" s="42"/>
      <c r="Q83" s="42"/>
      <c r="R83" s="37"/>
      <c r="S83" s="38">
        <v>600</v>
      </c>
      <c r="T83" s="43" t="s">
        <v>46</v>
      </c>
      <c r="U83" s="39">
        <v>600.48</v>
      </c>
      <c r="V83" s="25">
        <f t="shared" si="25"/>
        <v>0.48000000000001819</v>
      </c>
      <c r="W83" s="44"/>
      <c r="X83" s="45"/>
      <c r="Y83" s="124">
        <v>1</v>
      </c>
      <c r="Z83" s="124"/>
      <c r="AA83" s="124"/>
      <c r="AB83" s="124">
        <v>5.69</v>
      </c>
      <c r="AC83" s="130">
        <f t="shared" si="17"/>
        <v>5.69</v>
      </c>
      <c r="AD83" s="45">
        <v>7</v>
      </c>
      <c r="AE83" s="46">
        <v>480</v>
      </c>
      <c r="AF83" s="47">
        <v>53</v>
      </c>
      <c r="AG83" s="167">
        <f t="shared" si="18"/>
        <v>0.24125600000000913</v>
      </c>
      <c r="AH83" s="168" t="str">
        <f t="shared" si="19"/>
        <v/>
      </c>
      <c r="AI83" s="168">
        <f t="shared" si="20"/>
        <v>2.1849600000000828</v>
      </c>
      <c r="AJ83" s="167" t="str">
        <f t="shared" si="21"/>
        <v/>
      </c>
      <c r="AK83" s="167">
        <f t="shared" si="22"/>
        <v>994156.8</v>
      </c>
      <c r="AL83" s="167">
        <f t="shared" si="23"/>
        <v>795.3254400000302</v>
      </c>
      <c r="AM83" s="167" t="str">
        <f t="shared" si="24"/>
        <v/>
      </c>
    </row>
    <row r="84" spans="1:39" x14ac:dyDescent="0.25">
      <c r="A84" s="128" t="s">
        <v>340</v>
      </c>
      <c r="B84" s="128" t="s">
        <v>42</v>
      </c>
      <c r="C84" s="128" t="s">
        <v>341</v>
      </c>
      <c r="D84" s="128"/>
      <c r="E84" s="128">
        <v>1</v>
      </c>
      <c r="F84" s="128"/>
      <c r="G84" s="128">
        <v>0</v>
      </c>
      <c r="H84" s="128">
        <v>0</v>
      </c>
      <c r="I84" s="128">
        <v>0</v>
      </c>
      <c r="J84" s="99" t="s">
        <v>141</v>
      </c>
      <c r="K84" s="42" t="s">
        <v>204</v>
      </c>
      <c r="L84" s="37">
        <v>4.5</v>
      </c>
      <c r="M84" s="37"/>
      <c r="N84" s="42"/>
      <c r="O84" s="42">
        <v>1</v>
      </c>
      <c r="P84" s="42"/>
      <c r="Q84" s="42"/>
      <c r="R84" s="37"/>
      <c r="S84" s="38">
        <v>600</v>
      </c>
      <c r="T84" s="43" t="s">
        <v>46</v>
      </c>
      <c r="U84" s="39">
        <v>600.66039999999998</v>
      </c>
      <c r="V84" s="25">
        <f t="shared" si="25"/>
        <v>0.66039999999998145</v>
      </c>
      <c r="W84" s="44"/>
      <c r="X84" s="45"/>
      <c r="Y84" s="124">
        <v>1</v>
      </c>
      <c r="Z84" s="124"/>
      <c r="AA84" s="124"/>
      <c r="AB84" s="124">
        <v>3.99</v>
      </c>
      <c r="AC84" s="130">
        <f t="shared" si="17"/>
        <v>3.99</v>
      </c>
      <c r="AD84" s="45">
        <v>7</v>
      </c>
      <c r="AE84" s="46">
        <v>120</v>
      </c>
      <c r="AF84" s="47">
        <v>64</v>
      </c>
      <c r="AG84" s="167">
        <f t="shared" si="18"/>
        <v>0.28106623999999214</v>
      </c>
      <c r="AH84" s="168" t="str">
        <f t="shared" si="19"/>
        <v/>
      </c>
      <c r="AI84" s="168">
        <f t="shared" si="20"/>
        <v>0.52699919999998524</v>
      </c>
      <c r="AJ84" s="167" t="str">
        <f t="shared" si="21"/>
        <v/>
      </c>
      <c r="AK84" s="167">
        <f t="shared" si="22"/>
        <v>174283.19999999998</v>
      </c>
      <c r="AL84" s="167">
        <f t="shared" si="23"/>
        <v>191.82770879999461</v>
      </c>
      <c r="AM84" s="167" t="str">
        <f t="shared" si="24"/>
        <v/>
      </c>
    </row>
    <row r="85" spans="1:39" x14ac:dyDescent="0.25">
      <c r="A85" s="128"/>
      <c r="B85" s="128"/>
      <c r="C85" s="128"/>
      <c r="D85" s="128"/>
      <c r="E85" s="128">
        <v>1</v>
      </c>
      <c r="F85" s="128"/>
      <c r="G85" s="128">
        <v>0</v>
      </c>
      <c r="H85" s="128">
        <v>0</v>
      </c>
      <c r="I85" s="128">
        <v>0</v>
      </c>
      <c r="J85" s="99" t="s">
        <v>142</v>
      </c>
      <c r="K85" s="42" t="s">
        <v>48</v>
      </c>
      <c r="L85" s="37">
        <v>4.5</v>
      </c>
      <c r="M85" s="37"/>
      <c r="N85" s="42"/>
      <c r="O85" s="42">
        <v>1</v>
      </c>
      <c r="P85" s="42"/>
      <c r="Q85" s="42"/>
      <c r="R85" s="37"/>
      <c r="S85" s="38">
        <v>600</v>
      </c>
      <c r="T85" s="43" t="s">
        <v>46</v>
      </c>
      <c r="U85" s="39">
        <v>602.32399999999996</v>
      </c>
      <c r="V85" s="25">
        <f t="shared" si="25"/>
        <v>2.3239999999999554</v>
      </c>
      <c r="W85" s="44"/>
      <c r="X85" s="45"/>
      <c r="Y85" s="124">
        <v>1</v>
      </c>
      <c r="Z85" s="124"/>
      <c r="AA85" s="124"/>
      <c r="AB85" s="124">
        <v>5.5</v>
      </c>
      <c r="AC85" s="130">
        <f t="shared" si="17"/>
        <v>5.5</v>
      </c>
      <c r="AD85" s="45">
        <v>7</v>
      </c>
      <c r="AE85" s="46">
        <v>120</v>
      </c>
      <c r="AF85" s="47">
        <v>71</v>
      </c>
      <c r="AG85" s="167">
        <f t="shared" si="18"/>
        <v>1.5125366666666376</v>
      </c>
      <c r="AH85" s="168" t="str">
        <f t="shared" si="19"/>
        <v/>
      </c>
      <c r="AI85" s="168">
        <f t="shared" si="20"/>
        <v>2.5563999999999512</v>
      </c>
      <c r="AJ85" s="167" t="str">
        <f t="shared" si="21"/>
        <v/>
      </c>
      <c r="AK85" s="167">
        <f t="shared" si="22"/>
        <v>240240</v>
      </c>
      <c r="AL85" s="167">
        <f t="shared" si="23"/>
        <v>930.52959999998222</v>
      </c>
      <c r="AM85" s="167" t="str">
        <f t="shared" si="24"/>
        <v/>
      </c>
    </row>
    <row r="86" spans="1:39" x14ac:dyDescent="0.25">
      <c r="A86" s="128" t="s">
        <v>342</v>
      </c>
      <c r="B86" s="128" t="s">
        <v>42</v>
      </c>
      <c r="C86" s="128" t="s">
        <v>343</v>
      </c>
      <c r="D86" s="128"/>
      <c r="E86" s="128">
        <v>1</v>
      </c>
      <c r="F86" s="128"/>
      <c r="G86" s="128">
        <v>0</v>
      </c>
      <c r="H86" s="128">
        <v>0</v>
      </c>
      <c r="I86" s="128">
        <v>0</v>
      </c>
      <c r="J86" s="99" t="s">
        <v>141</v>
      </c>
      <c r="K86" s="42" t="s">
        <v>204</v>
      </c>
      <c r="L86" s="37">
        <v>4.5</v>
      </c>
      <c r="M86" s="37"/>
      <c r="N86" s="42"/>
      <c r="O86" s="42">
        <v>1</v>
      </c>
      <c r="P86" s="42"/>
      <c r="Q86" s="42"/>
      <c r="R86" s="37"/>
      <c r="S86" s="38">
        <v>700</v>
      </c>
      <c r="T86" s="43" t="s">
        <v>46</v>
      </c>
      <c r="U86" s="39">
        <v>732.56</v>
      </c>
      <c r="V86" s="25">
        <f t="shared" si="25"/>
        <v>32.559999999999945</v>
      </c>
      <c r="W86" s="44"/>
      <c r="X86" s="45"/>
      <c r="Y86" s="124">
        <v>1</v>
      </c>
      <c r="Z86" s="124"/>
      <c r="AA86" s="124"/>
      <c r="AB86" s="124">
        <v>5.99</v>
      </c>
      <c r="AC86" s="130">
        <f t="shared" si="17"/>
        <v>5.99</v>
      </c>
      <c r="AD86" s="45">
        <v>7</v>
      </c>
      <c r="AE86" s="46">
        <v>170</v>
      </c>
      <c r="AF86" s="47">
        <v>90</v>
      </c>
      <c r="AG86" s="167">
        <f t="shared" si="18"/>
        <v>25.075851428571383</v>
      </c>
      <c r="AH86" s="168" t="str">
        <f t="shared" si="19"/>
        <v/>
      </c>
      <c r="AI86" s="168">
        <f t="shared" si="20"/>
        <v>47.365497142857059</v>
      </c>
      <c r="AJ86" s="167" t="str">
        <f t="shared" si="21"/>
        <v/>
      </c>
      <c r="AK86" s="167">
        <f t="shared" si="22"/>
        <v>370661.2</v>
      </c>
      <c r="AL86" s="167">
        <f t="shared" si="23"/>
        <v>17241.040959999969</v>
      </c>
      <c r="AM86" s="167" t="str">
        <f t="shared" si="24"/>
        <v/>
      </c>
    </row>
    <row r="87" spans="1:39" x14ac:dyDescent="0.25">
      <c r="A87" s="128"/>
      <c r="B87" s="128"/>
      <c r="C87" s="128"/>
      <c r="D87" s="128"/>
      <c r="E87" s="128">
        <v>1</v>
      </c>
      <c r="F87" s="128"/>
      <c r="G87" s="128">
        <v>0</v>
      </c>
      <c r="H87" s="128">
        <v>0</v>
      </c>
      <c r="I87" s="128">
        <v>0</v>
      </c>
      <c r="J87" s="99" t="s">
        <v>142</v>
      </c>
      <c r="K87" s="42" t="s">
        <v>48</v>
      </c>
      <c r="L87" s="37">
        <v>4.5</v>
      </c>
      <c r="M87" s="37"/>
      <c r="N87" s="42"/>
      <c r="O87" s="42">
        <v>1</v>
      </c>
      <c r="P87" s="42"/>
      <c r="Q87" s="42"/>
      <c r="R87" s="37"/>
      <c r="S87" s="38">
        <v>700</v>
      </c>
      <c r="T87" s="43" t="s">
        <v>46</v>
      </c>
      <c r="U87" s="39">
        <v>724.08</v>
      </c>
      <c r="V87" s="25">
        <f t="shared" si="25"/>
        <v>24.080000000000041</v>
      </c>
      <c r="W87" s="44"/>
      <c r="X87" s="45"/>
      <c r="Y87" s="124">
        <v>1</v>
      </c>
      <c r="Z87" s="124"/>
      <c r="AA87" s="124"/>
      <c r="AB87" s="124">
        <v>6.99</v>
      </c>
      <c r="AC87" s="130">
        <f t="shared" si="17"/>
        <v>6.99</v>
      </c>
      <c r="AD87" s="45">
        <v>7</v>
      </c>
      <c r="AE87" s="46">
        <v>100</v>
      </c>
      <c r="AF87" s="47">
        <v>93</v>
      </c>
      <c r="AG87" s="167">
        <f t="shared" si="18"/>
        <v>22.362408000000038</v>
      </c>
      <c r="AH87" s="168" t="str">
        <f t="shared" si="19"/>
        <v/>
      </c>
      <c r="AI87" s="168">
        <f t="shared" si="20"/>
        <v>24.045600000000039</v>
      </c>
      <c r="AJ87" s="167" t="str">
        <f t="shared" si="21"/>
        <v/>
      </c>
      <c r="AK87" s="167">
        <f t="shared" si="22"/>
        <v>254436</v>
      </c>
      <c r="AL87" s="167">
        <f t="shared" si="23"/>
        <v>8752.5984000000153</v>
      </c>
      <c r="AM87" s="167" t="str">
        <f t="shared" si="24"/>
        <v/>
      </c>
    </row>
    <row r="88" spans="1:39" x14ac:dyDescent="0.25">
      <c r="A88" s="128" t="s">
        <v>344</v>
      </c>
      <c r="B88" s="128" t="s">
        <v>42</v>
      </c>
      <c r="C88" s="128" t="s">
        <v>345</v>
      </c>
      <c r="D88" s="128"/>
      <c r="E88" s="128">
        <v>1</v>
      </c>
      <c r="F88" s="128"/>
      <c r="G88" s="128">
        <v>0</v>
      </c>
      <c r="H88" s="128">
        <v>0</v>
      </c>
      <c r="I88" s="128">
        <v>0</v>
      </c>
      <c r="J88" s="99" t="s">
        <v>141</v>
      </c>
      <c r="K88" s="42" t="s">
        <v>204</v>
      </c>
      <c r="L88" s="37">
        <v>4.5</v>
      </c>
      <c r="M88" s="37"/>
      <c r="N88" s="42"/>
      <c r="O88" s="42">
        <v>1</v>
      </c>
      <c r="P88" s="42"/>
      <c r="Q88" s="42"/>
      <c r="R88" s="37"/>
      <c r="S88" s="38">
        <v>600</v>
      </c>
      <c r="T88" s="43" t="s">
        <v>46</v>
      </c>
      <c r="U88" s="39">
        <v>617.91999999999996</v>
      </c>
      <c r="V88" s="25">
        <f t="shared" si="25"/>
        <v>17.919999999999959</v>
      </c>
      <c r="W88" s="44"/>
      <c r="X88" s="45"/>
      <c r="Y88" s="124">
        <v>1</v>
      </c>
      <c r="Z88" s="124"/>
      <c r="AA88" s="124"/>
      <c r="AB88" s="124">
        <v>5.59</v>
      </c>
      <c r="AC88" s="130">
        <f t="shared" si="17"/>
        <v>5.59</v>
      </c>
      <c r="AD88" s="45">
        <v>7</v>
      </c>
      <c r="AE88" s="46">
        <v>60</v>
      </c>
      <c r="AF88" s="47">
        <v>55</v>
      </c>
      <c r="AG88" s="167">
        <f t="shared" si="18"/>
        <v>9.1825066666666455</v>
      </c>
      <c r="AH88" s="168" t="str">
        <f t="shared" si="19"/>
        <v/>
      </c>
      <c r="AI88" s="168">
        <f t="shared" si="20"/>
        <v>10.017279999999976</v>
      </c>
      <c r="AJ88" s="167" t="str">
        <f t="shared" si="21"/>
        <v/>
      </c>
      <c r="AK88" s="167">
        <f t="shared" si="22"/>
        <v>122085.59999999999</v>
      </c>
      <c r="AL88" s="167">
        <f t="shared" si="23"/>
        <v>3646.2899199999915</v>
      </c>
      <c r="AM88" s="167" t="str">
        <f t="shared" si="24"/>
        <v/>
      </c>
    </row>
    <row r="89" spans="1:39" x14ac:dyDescent="0.25">
      <c r="A89" s="128"/>
      <c r="B89" s="128"/>
      <c r="C89" s="128"/>
      <c r="D89" s="128"/>
      <c r="E89" s="128">
        <v>1</v>
      </c>
      <c r="F89" s="128"/>
      <c r="G89" s="128">
        <v>0</v>
      </c>
      <c r="H89" s="128">
        <v>0</v>
      </c>
      <c r="I89" s="128">
        <v>0</v>
      </c>
      <c r="J89" s="99" t="s">
        <v>142</v>
      </c>
      <c r="K89" s="42" t="s">
        <v>48</v>
      </c>
      <c r="L89" s="37">
        <v>4.5</v>
      </c>
      <c r="M89" s="37"/>
      <c r="N89" s="42"/>
      <c r="O89" s="42">
        <v>1</v>
      </c>
      <c r="P89" s="42"/>
      <c r="Q89" s="42"/>
      <c r="R89" s="37"/>
      <c r="S89" s="38">
        <v>600</v>
      </c>
      <c r="T89" s="43" t="s">
        <v>46</v>
      </c>
      <c r="U89" s="39">
        <v>620.76</v>
      </c>
      <c r="V89" s="25">
        <f t="shared" si="25"/>
        <v>20.759999999999991</v>
      </c>
      <c r="W89" s="44"/>
      <c r="X89" s="45"/>
      <c r="Y89" s="124">
        <v>1</v>
      </c>
      <c r="Z89" s="124"/>
      <c r="AA89" s="124"/>
      <c r="AB89" s="124">
        <v>6.59</v>
      </c>
      <c r="AC89" s="130">
        <f t="shared" si="17"/>
        <v>6.59</v>
      </c>
      <c r="AD89" s="45">
        <v>7</v>
      </c>
      <c r="AE89" s="46">
        <v>60</v>
      </c>
      <c r="AF89" s="47">
        <v>50</v>
      </c>
      <c r="AG89" s="167">
        <f t="shared" si="18"/>
        <v>11.400699999999993</v>
      </c>
      <c r="AH89" s="168" t="str">
        <f t="shared" si="19"/>
        <v/>
      </c>
      <c r="AI89" s="168">
        <f t="shared" si="20"/>
        <v>13.680839999999993</v>
      </c>
      <c r="AJ89" s="167" t="str">
        <f t="shared" si="21"/>
        <v/>
      </c>
      <c r="AK89" s="167">
        <f t="shared" si="22"/>
        <v>143925.59999999998</v>
      </c>
      <c r="AL89" s="167">
        <f t="shared" si="23"/>
        <v>4979.8257599999979</v>
      </c>
      <c r="AM89" s="167" t="str">
        <f t="shared" si="24"/>
        <v/>
      </c>
    </row>
    <row r="90" spans="1:39" x14ac:dyDescent="0.25">
      <c r="A90" s="128" t="s">
        <v>346</v>
      </c>
      <c r="B90" s="128" t="s">
        <v>203</v>
      </c>
      <c r="C90" s="128" t="s">
        <v>347</v>
      </c>
      <c r="D90" s="128"/>
      <c r="E90" s="128">
        <v>1</v>
      </c>
      <c r="F90" s="128"/>
      <c r="G90" s="128">
        <v>0</v>
      </c>
      <c r="H90" s="128">
        <v>0</v>
      </c>
      <c r="I90" s="128">
        <v>0</v>
      </c>
      <c r="J90" s="99" t="s">
        <v>141</v>
      </c>
      <c r="K90" s="42" t="s">
        <v>204</v>
      </c>
      <c r="L90" s="37">
        <v>4.5</v>
      </c>
      <c r="M90" s="37"/>
      <c r="N90" s="42"/>
      <c r="O90" s="42"/>
      <c r="P90" s="42">
        <v>1</v>
      </c>
      <c r="Q90" s="42"/>
      <c r="R90" s="37"/>
      <c r="S90" s="38">
        <v>600</v>
      </c>
      <c r="T90" s="43" t="s">
        <v>46</v>
      </c>
      <c r="U90" s="39">
        <v>615.45124999999996</v>
      </c>
      <c r="V90" s="25">
        <f t="shared" si="25"/>
        <v>15.451249999999959</v>
      </c>
      <c r="W90" s="44"/>
      <c r="X90" s="45"/>
      <c r="Y90" s="124">
        <v>1</v>
      </c>
      <c r="Z90" s="124"/>
      <c r="AA90" s="124"/>
      <c r="AB90" s="124">
        <v>5.9</v>
      </c>
      <c r="AC90" s="130">
        <f t="shared" si="17"/>
        <v>5.9</v>
      </c>
      <c r="AD90" s="45">
        <v>6</v>
      </c>
      <c r="AE90" s="46">
        <v>1200</v>
      </c>
      <c r="AF90" s="47">
        <v>150</v>
      </c>
      <c r="AG90" s="167">
        <f t="shared" si="18"/>
        <v>22.790593749999942</v>
      </c>
      <c r="AH90" s="168" t="str">
        <f t="shared" si="19"/>
        <v/>
      </c>
      <c r="AI90" s="168">
        <f t="shared" si="20"/>
        <v>182.32474999999954</v>
      </c>
      <c r="AJ90" s="167" t="str">
        <f t="shared" si="21"/>
        <v/>
      </c>
      <c r="AK90" s="167">
        <f t="shared" si="22"/>
        <v>2208960</v>
      </c>
      <c r="AL90" s="167">
        <f t="shared" si="23"/>
        <v>56885.321999999855</v>
      </c>
      <c r="AM90" s="167" t="str">
        <f t="shared" si="24"/>
        <v/>
      </c>
    </row>
    <row r="91" spans="1:39" x14ac:dyDescent="0.25">
      <c r="A91" s="128"/>
      <c r="B91" s="128"/>
      <c r="C91" s="128"/>
      <c r="D91" s="128"/>
      <c r="E91" s="128">
        <v>1</v>
      </c>
      <c r="F91" s="128"/>
      <c r="G91" s="128">
        <v>0</v>
      </c>
      <c r="H91" s="128">
        <v>0</v>
      </c>
      <c r="I91" s="128">
        <v>0</v>
      </c>
      <c r="J91" s="99" t="s">
        <v>142</v>
      </c>
      <c r="K91" s="42" t="s">
        <v>48</v>
      </c>
      <c r="L91" s="37">
        <v>4.5</v>
      </c>
      <c r="M91" s="37"/>
      <c r="N91" s="42"/>
      <c r="O91" s="42">
        <v>1</v>
      </c>
      <c r="P91" s="42"/>
      <c r="Q91" s="42"/>
      <c r="R91" s="37"/>
      <c r="S91" s="38">
        <v>600</v>
      </c>
      <c r="T91" s="43" t="s">
        <v>46</v>
      </c>
      <c r="U91" s="39">
        <v>604.21990000000005</v>
      </c>
      <c r="V91" s="25">
        <f t="shared" si="25"/>
        <v>4.2199000000000524</v>
      </c>
      <c r="W91" s="44"/>
      <c r="X91" s="45"/>
      <c r="Y91" s="124">
        <v>1</v>
      </c>
      <c r="Z91" s="124"/>
      <c r="AA91" s="124"/>
      <c r="AB91" s="124">
        <v>7</v>
      </c>
      <c r="AC91" s="130">
        <f t="shared" si="17"/>
        <v>7</v>
      </c>
      <c r="AD91" s="45">
        <v>6</v>
      </c>
      <c r="AE91" s="46">
        <v>170</v>
      </c>
      <c r="AF91" s="47">
        <v>81</v>
      </c>
      <c r="AG91" s="167">
        <f t="shared" si="18"/>
        <v>3.9878055000000496</v>
      </c>
      <c r="AH91" s="168" t="str">
        <f t="shared" si="19"/>
        <v/>
      </c>
      <c r="AI91" s="168">
        <f t="shared" si="20"/>
        <v>8.3694683333334368</v>
      </c>
      <c r="AJ91" s="167" t="str">
        <f t="shared" si="21"/>
        <v/>
      </c>
      <c r="AK91" s="167">
        <f t="shared" si="22"/>
        <v>371280</v>
      </c>
      <c r="AL91" s="167">
        <f t="shared" si="23"/>
        <v>2611.2741200000323</v>
      </c>
      <c r="AM91" s="167" t="str">
        <f t="shared" si="24"/>
        <v/>
      </c>
    </row>
    <row r="92" spans="1:39" x14ac:dyDescent="0.25">
      <c r="A92" s="128" t="s">
        <v>211</v>
      </c>
      <c r="B92" s="128" t="s">
        <v>42</v>
      </c>
      <c r="C92" s="128" t="s">
        <v>348</v>
      </c>
      <c r="D92" s="128"/>
      <c r="E92" s="128">
        <v>1</v>
      </c>
      <c r="F92" s="128"/>
      <c r="G92" s="128">
        <v>0</v>
      </c>
      <c r="H92" s="128">
        <v>0</v>
      </c>
      <c r="I92" s="128">
        <v>0</v>
      </c>
      <c r="J92" s="99" t="s">
        <v>141</v>
      </c>
      <c r="K92" s="42" t="s">
        <v>204</v>
      </c>
      <c r="L92" s="37">
        <v>4.5</v>
      </c>
      <c r="M92" s="37"/>
      <c r="N92" s="42"/>
      <c r="O92" s="42"/>
      <c r="P92" s="42">
        <v>1</v>
      </c>
      <c r="Q92" s="42"/>
      <c r="R92" s="37"/>
      <c r="S92" s="38">
        <v>600</v>
      </c>
      <c r="T92" s="43" t="s">
        <v>46</v>
      </c>
      <c r="U92" s="39">
        <v>655.04999999999995</v>
      </c>
      <c r="V92" s="25">
        <f t="shared" si="25"/>
        <v>55.049999999999955</v>
      </c>
      <c r="W92" s="44"/>
      <c r="X92" s="45"/>
      <c r="Y92" s="124">
        <v>1</v>
      </c>
      <c r="Z92" s="124"/>
      <c r="AA92" s="124"/>
      <c r="AB92" s="124">
        <v>4.5</v>
      </c>
      <c r="AC92" s="130">
        <f t="shared" si="17"/>
        <v>4.5</v>
      </c>
      <c r="AD92" s="45">
        <v>7</v>
      </c>
      <c r="AE92" s="46">
        <v>720</v>
      </c>
      <c r="AF92" s="47">
        <v>120</v>
      </c>
      <c r="AG92" s="167">
        <f t="shared" si="18"/>
        <v>49.544999999999959</v>
      </c>
      <c r="AH92" s="168" t="str">
        <f t="shared" si="19"/>
        <v/>
      </c>
      <c r="AI92" s="168">
        <f t="shared" si="20"/>
        <v>297.26999999999975</v>
      </c>
      <c r="AJ92" s="167" t="str">
        <f t="shared" si="21"/>
        <v/>
      </c>
      <c r="AK92" s="167">
        <f t="shared" si="22"/>
        <v>1179360</v>
      </c>
      <c r="AL92" s="167">
        <f t="shared" si="23"/>
        <v>108206.27999999993</v>
      </c>
      <c r="AM92" s="167" t="str">
        <f t="shared" si="24"/>
        <v/>
      </c>
    </row>
    <row r="93" spans="1:39" x14ac:dyDescent="0.25">
      <c r="A93" s="124" t="s">
        <v>349</v>
      </c>
      <c r="B93" s="124" t="s">
        <v>42</v>
      </c>
      <c r="C93" s="124" t="s">
        <v>350</v>
      </c>
      <c r="D93" s="124"/>
      <c r="E93" s="124">
        <v>1</v>
      </c>
      <c r="F93" s="124"/>
      <c r="G93" s="124">
        <v>1</v>
      </c>
      <c r="H93" s="124">
        <v>1</v>
      </c>
      <c r="I93" s="124"/>
      <c r="J93" s="99" t="s">
        <v>142</v>
      </c>
      <c r="K93" s="37" t="s">
        <v>351</v>
      </c>
      <c r="L93" s="37">
        <v>4.5</v>
      </c>
      <c r="M93" s="37">
        <v>46</v>
      </c>
      <c r="N93" s="37"/>
      <c r="O93" s="37"/>
      <c r="P93" s="37"/>
      <c r="Q93" s="37"/>
      <c r="R93" s="37"/>
      <c r="S93" s="38">
        <v>600</v>
      </c>
      <c r="T93" s="38" t="s">
        <v>46</v>
      </c>
      <c r="U93" s="39">
        <v>587.65217299999995</v>
      </c>
      <c r="V93" s="25">
        <f t="shared" si="25"/>
        <v>-12.347827000000052</v>
      </c>
      <c r="W93" s="79">
        <v>1</v>
      </c>
      <c r="X93" s="40">
        <v>0</v>
      </c>
      <c r="Y93" s="124">
        <v>1</v>
      </c>
      <c r="Z93" s="124">
        <v>0</v>
      </c>
      <c r="AA93" s="124"/>
      <c r="AB93" s="124">
        <v>5.99</v>
      </c>
      <c r="AC93" s="130">
        <f>IF(AA93&gt;0,AA93/1000*S93/R93,AB93)</f>
        <v>5.99</v>
      </c>
      <c r="AD93" s="40">
        <v>7</v>
      </c>
      <c r="AE93" s="41">
        <v>80</v>
      </c>
      <c r="AF93" s="80">
        <v>46</v>
      </c>
      <c r="AG93" s="167" t="str">
        <f t="shared" si="18"/>
        <v/>
      </c>
      <c r="AH93" s="168">
        <f t="shared" si="19"/>
        <v>-5.6705337526333572</v>
      </c>
      <c r="AI93" s="168" t="str">
        <f t="shared" si="20"/>
        <v/>
      </c>
      <c r="AJ93" s="167">
        <f t="shared" si="21"/>
        <v>-9.861797830666708</v>
      </c>
      <c r="AK93" s="167">
        <f t="shared" si="22"/>
        <v>174428.80000000002</v>
      </c>
      <c r="AL93" s="167" t="str">
        <f t="shared" si="23"/>
        <v/>
      </c>
      <c r="AM93" s="167">
        <f t="shared" si="24"/>
        <v>3589.694410362682</v>
      </c>
    </row>
    <row r="94" spans="1:39" x14ac:dyDescent="0.25">
      <c r="A94" s="128" t="s">
        <v>352</v>
      </c>
      <c r="B94" s="128" t="s">
        <v>42</v>
      </c>
      <c r="C94" s="128" t="s">
        <v>353</v>
      </c>
      <c r="D94" s="128"/>
      <c r="E94" s="128">
        <v>1</v>
      </c>
      <c r="F94" s="128"/>
      <c r="G94" s="128">
        <v>0</v>
      </c>
      <c r="H94" s="124">
        <v>0</v>
      </c>
      <c r="I94" s="124">
        <v>0</v>
      </c>
      <c r="J94" s="99" t="s">
        <v>142</v>
      </c>
      <c r="K94" s="37" t="s">
        <v>351</v>
      </c>
      <c r="L94" s="37">
        <v>4.5</v>
      </c>
      <c r="M94" s="37">
        <v>50</v>
      </c>
      <c r="N94" s="42"/>
      <c r="O94" s="42"/>
      <c r="P94" s="42"/>
      <c r="Q94" s="42"/>
      <c r="R94" s="37"/>
      <c r="S94" s="38">
        <v>600</v>
      </c>
      <c r="T94" s="43" t="s">
        <v>46</v>
      </c>
      <c r="U94" s="39">
        <v>609.69799999999998</v>
      </c>
      <c r="V94" s="25">
        <f t="shared" si="25"/>
        <v>9.6979999999999791</v>
      </c>
      <c r="W94" s="44">
        <v>0</v>
      </c>
      <c r="X94" s="45">
        <v>0</v>
      </c>
      <c r="Y94" s="124">
        <v>1</v>
      </c>
      <c r="Z94" s="124">
        <v>0</v>
      </c>
      <c r="AA94" s="124"/>
      <c r="AB94" s="124">
        <v>5.69</v>
      </c>
      <c r="AC94" s="130">
        <f t="shared" ref="AC94:AC126" si="26">IF(AA94&gt;0,AA94/1000*S94/R94,AB94)</f>
        <v>5.69</v>
      </c>
      <c r="AD94" s="45">
        <v>7</v>
      </c>
      <c r="AE94" s="46">
        <v>160</v>
      </c>
      <c r="AF94" s="47">
        <v>50</v>
      </c>
      <c r="AG94" s="167">
        <f t="shared" si="18"/>
        <v>4.5984683333333232</v>
      </c>
      <c r="AH94" s="168" t="str">
        <f t="shared" si="19"/>
        <v/>
      </c>
      <c r="AI94" s="168">
        <f t="shared" si="20"/>
        <v>14.715098666666634</v>
      </c>
      <c r="AJ94" s="167" t="str">
        <f t="shared" si="21"/>
        <v/>
      </c>
      <c r="AK94" s="167">
        <f t="shared" si="22"/>
        <v>331385.60000000003</v>
      </c>
      <c r="AL94" s="167">
        <f t="shared" si="23"/>
        <v>5356.2959146666544</v>
      </c>
      <c r="AM94" s="167" t="str">
        <f t="shared" si="24"/>
        <v/>
      </c>
    </row>
    <row r="95" spans="1:39" x14ac:dyDescent="0.25">
      <c r="A95" s="128"/>
      <c r="B95" s="128"/>
      <c r="C95" s="128"/>
      <c r="D95" s="128"/>
      <c r="E95" s="128"/>
      <c r="F95" s="128"/>
      <c r="G95" s="128">
        <v>0</v>
      </c>
      <c r="H95" s="128">
        <v>0</v>
      </c>
      <c r="I95" s="128">
        <v>0</v>
      </c>
      <c r="J95" s="99" t="s">
        <v>141</v>
      </c>
      <c r="K95" s="42" t="s">
        <v>351</v>
      </c>
      <c r="L95" s="37">
        <v>4.5</v>
      </c>
      <c r="M95" s="37">
        <v>60</v>
      </c>
      <c r="N95" s="42"/>
      <c r="O95" s="42"/>
      <c r="P95" s="42"/>
      <c r="Q95" s="42"/>
      <c r="R95" s="37"/>
      <c r="S95" s="38">
        <v>600</v>
      </c>
      <c r="T95" s="43" t="s">
        <v>46</v>
      </c>
      <c r="U95" s="39">
        <v>613.30166670000006</v>
      </c>
      <c r="V95" s="25">
        <f t="shared" si="25"/>
        <v>13.301666700000055</v>
      </c>
      <c r="W95" s="44">
        <v>0</v>
      </c>
      <c r="X95" s="45">
        <v>0</v>
      </c>
      <c r="Y95" s="124">
        <v>1</v>
      </c>
      <c r="Z95" s="124">
        <v>0</v>
      </c>
      <c r="AA95" s="124"/>
      <c r="AB95" s="124">
        <v>5.49</v>
      </c>
      <c r="AC95" s="130">
        <f t="shared" si="26"/>
        <v>5.49</v>
      </c>
      <c r="AD95" s="45">
        <v>7</v>
      </c>
      <c r="AE95" s="46">
        <v>160</v>
      </c>
      <c r="AF95" s="47">
        <v>60</v>
      </c>
      <c r="AG95" s="167">
        <f t="shared" si="18"/>
        <v>7.3026150183000302</v>
      </c>
      <c r="AH95" s="168" t="str">
        <f t="shared" si="19"/>
        <v/>
      </c>
      <c r="AI95" s="168">
        <f t="shared" si="20"/>
        <v>19.473640048800082</v>
      </c>
      <c r="AJ95" s="167" t="str">
        <f t="shared" si="21"/>
        <v/>
      </c>
      <c r="AK95" s="167">
        <f t="shared" si="22"/>
        <v>319737.60000000003</v>
      </c>
      <c r="AL95" s="167">
        <f t="shared" si="23"/>
        <v>7088.404977763229</v>
      </c>
      <c r="AM95" s="167" t="str">
        <f t="shared" si="24"/>
        <v/>
      </c>
    </row>
    <row r="96" spans="1:39" x14ac:dyDescent="0.25">
      <c r="A96" s="128" t="s">
        <v>354</v>
      </c>
      <c r="B96" s="128" t="s">
        <v>42</v>
      </c>
      <c r="C96" s="128" t="s">
        <v>355</v>
      </c>
      <c r="D96" s="128"/>
      <c r="E96" s="128">
        <v>1</v>
      </c>
      <c r="F96" s="128"/>
      <c r="G96" s="128">
        <v>0</v>
      </c>
      <c r="H96" s="128">
        <v>0</v>
      </c>
      <c r="I96" s="128">
        <v>0</v>
      </c>
      <c r="J96" s="99" t="s">
        <v>142</v>
      </c>
      <c r="K96" s="42" t="s">
        <v>351</v>
      </c>
      <c r="L96" s="37">
        <v>4.5</v>
      </c>
      <c r="M96" s="37">
        <v>50</v>
      </c>
      <c r="N96" s="42"/>
      <c r="O96" s="42"/>
      <c r="P96" s="42"/>
      <c r="Q96" s="42"/>
      <c r="R96" s="37"/>
      <c r="S96" s="38">
        <v>700</v>
      </c>
      <c r="T96" s="43" t="s">
        <v>46</v>
      </c>
      <c r="U96" s="39">
        <v>727.32799999999997</v>
      </c>
      <c r="V96" s="25">
        <f t="shared" si="25"/>
        <v>27.327999999999975</v>
      </c>
      <c r="W96" s="44">
        <v>0</v>
      </c>
      <c r="X96" s="45">
        <v>0</v>
      </c>
      <c r="Y96" s="124"/>
      <c r="Z96" s="124">
        <v>0</v>
      </c>
      <c r="AA96" s="124"/>
      <c r="AB96" s="124">
        <v>6.8</v>
      </c>
      <c r="AC96" s="130">
        <f t="shared" si="26"/>
        <v>6.8</v>
      </c>
      <c r="AD96" s="45">
        <v>7</v>
      </c>
      <c r="AE96" s="46">
        <v>120</v>
      </c>
      <c r="AF96" s="47">
        <v>50</v>
      </c>
      <c r="AG96" s="167">
        <f t="shared" si="18"/>
        <v>13.273599999999986</v>
      </c>
      <c r="AH96" s="168" t="str">
        <f t="shared" si="19"/>
        <v/>
      </c>
      <c r="AI96" s="168">
        <f t="shared" si="20"/>
        <v>31.856639999999963</v>
      </c>
      <c r="AJ96" s="167" t="str">
        <f t="shared" si="21"/>
        <v/>
      </c>
      <c r="AK96" s="167">
        <f t="shared" si="22"/>
        <v>297024</v>
      </c>
      <c r="AL96" s="167">
        <f t="shared" si="23"/>
        <v>11595.816959999986</v>
      </c>
      <c r="AM96" s="167" t="str">
        <f t="shared" si="24"/>
        <v/>
      </c>
    </row>
    <row r="97" spans="1:39" x14ac:dyDescent="0.25">
      <c r="A97" s="128"/>
      <c r="B97" s="128"/>
      <c r="C97" s="128"/>
      <c r="D97" s="128"/>
      <c r="E97" s="128"/>
      <c r="F97" s="128"/>
      <c r="G97" s="128">
        <v>0</v>
      </c>
      <c r="H97" s="128">
        <v>0</v>
      </c>
      <c r="I97" s="128">
        <v>0</v>
      </c>
      <c r="J97" s="99" t="s">
        <v>141</v>
      </c>
      <c r="K97" s="42" t="s">
        <v>351</v>
      </c>
      <c r="L97" s="37">
        <v>4.5</v>
      </c>
      <c r="M97" s="37">
        <v>53</v>
      </c>
      <c r="N97" s="42"/>
      <c r="O97" s="42"/>
      <c r="P97" s="42"/>
      <c r="Q97" s="42"/>
      <c r="R97" s="37"/>
      <c r="S97" s="38">
        <v>700</v>
      </c>
      <c r="T97" s="43" t="s">
        <v>46</v>
      </c>
      <c r="U97" s="39">
        <v>728.84528299999999</v>
      </c>
      <c r="V97" s="25">
        <f t="shared" si="25"/>
        <v>28.845282999999995</v>
      </c>
      <c r="W97" s="44">
        <v>0</v>
      </c>
      <c r="X97" s="45">
        <v>0</v>
      </c>
      <c r="Y97" s="124"/>
      <c r="Z97" s="124">
        <v>0</v>
      </c>
      <c r="AA97" s="124"/>
      <c r="AB97" s="124">
        <v>6</v>
      </c>
      <c r="AC97" s="130">
        <f t="shared" si="26"/>
        <v>6</v>
      </c>
      <c r="AD97" s="45">
        <v>7</v>
      </c>
      <c r="AE97" s="46">
        <v>100</v>
      </c>
      <c r="AF97" s="47">
        <v>53</v>
      </c>
      <c r="AG97" s="167">
        <f t="shared" si="18"/>
        <v>13.103999991428569</v>
      </c>
      <c r="AH97" s="168" t="str">
        <f t="shared" si="19"/>
        <v/>
      </c>
      <c r="AI97" s="168">
        <f t="shared" si="20"/>
        <v>24.724528285714282</v>
      </c>
      <c r="AJ97" s="167" t="str">
        <f t="shared" si="21"/>
        <v/>
      </c>
      <c r="AK97" s="167">
        <f t="shared" si="22"/>
        <v>218400</v>
      </c>
      <c r="AL97" s="167">
        <f t="shared" si="23"/>
        <v>8999.7282959999975</v>
      </c>
      <c r="AM97" s="167" t="str">
        <f t="shared" si="24"/>
        <v/>
      </c>
    </row>
    <row r="98" spans="1:39" x14ac:dyDescent="0.25">
      <c r="A98" s="128" t="s">
        <v>356</v>
      </c>
      <c r="B98" s="128" t="s">
        <v>42</v>
      </c>
      <c r="C98" s="128" t="s">
        <v>357</v>
      </c>
      <c r="D98" s="128"/>
      <c r="E98" s="128">
        <v>1</v>
      </c>
      <c r="F98" s="128"/>
      <c r="G98" s="128">
        <v>0</v>
      </c>
      <c r="H98" s="128">
        <v>0</v>
      </c>
      <c r="I98" s="128">
        <v>0</v>
      </c>
      <c r="J98" s="99" t="s">
        <v>142</v>
      </c>
      <c r="K98" s="42" t="s">
        <v>351</v>
      </c>
      <c r="L98" s="37">
        <v>4.5</v>
      </c>
      <c r="M98" s="37">
        <v>46</v>
      </c>
      <c r="N98" s="42"/>
      <c r="O98" s="42"/>
      <c r="P98" s="42"/>
      <c r="Q98" s="42"/>
      <c r="R98" s="37"/>
      <c r="S98" s="38">
        <v>600</v>
      </c>
      <c r="T98" s="43" t="s">
        <v>46</v>
      </c>
      <c r="U98" s="39">
        <v>634.94565220000004</v>
      </c>
      <c r="V98" s="25">
        <f t="shared" si="25"/>
        <v>34.94565220000004</v>
      </c>
      <c r="W98" s="44">
        <v>0</v>
      </c>
      <c r="X98" s="45">
        <v>0</v>
      </c>
      <c r="Y98" s="124">
        <v>1</v>
      </c>
      <c r="Z98" s="124">
        <v>0</v>
      </c>
      <c r="AA98" s="124"/>
      <c r="AB98" s="124">
        <v>6.99</v>
      </c>
      <c r="AC98" s="130">
        <f t="shared" si="26"/>
        <v>6.99</v>
      </c>
      <c r="AD98" s="45">
        <v>7</v>
      </c>
      <c r="AE98" s="46">
        <v>200</v>
      </c>
      <c r="AF98" s="47">
        <v>46</v>
      </c>
      <c r="AG98" s="167">
        <f t="shared" si="18"/>
        <v>18.727375013980023</v>
      </c>
      <c r="AH98" s="168" t="str">
        <f t="shared" si="19"/>
        <v/>
      </c>
      <c r="AI98" s="168">
        <f t="shared" si="20"/>
        <v>81.423369626000095</v>
      </c>
      <c r="AJ98" s="167" t="str">
        <f t="shared" si="21"/>
        <v/>
      </c>
      <c r="AK98" s="167">
        <f t="shared" si="22"/>
        <v>508872</v>
      </c>
      <c r="AL98" s="167">
        <f t="shared" si="23"/>
        <v>29638.106543864036</v>
      </c>
      <c r="AM98" s="167" t="str">
        <f t="shared" si="24"/>
        <v/>
      </c>
    </row>
    <row r="99" spans="1:39" x14ac:dyDescent="0.25">
      <c r="A99" s="128"/>
      <c r="B99" s="128"/>
      <c r="C99" s="128"/>
      <c r="D99" s="128"/>
      <c r="E99" s="128"/>
      <c r="F99" s="128"/>
      <c r="G99" s="128">
        <v>0</v>
      </c>
      <c r="H99" s="128">
        <v>0</v>
      </c>
      <c r="I99" s="128">
        <v>0</v>
      </c>
      <c r="J99" s="99" t="s">
        <v>141</v>
      </c>
      <c r="K99" s="42" t="s">
        <v>351</v>
      </c>
      <c r="L99" s="37">
        <v>4.5</v>
      </c>
      <c r="M99" s="37">
        <v>57</v>
      </c>
      <c r="N99" s="42"/>
      <c r="O99" s="42"/>
      <c r="P99" s="42"/>
      <c r="Q99" s="42"/>
      <c r="R99" s="37"/>
      <c r="S99" s="38">
        <v>600</v>
      </c>
      <c r="T99" s="43" t="s">
        <v>46</v>
      </c>
      <c r="U99" s="39">
        <v>639.4684211</v>
      </c>
      <c r="V99" s="25">
        <f t="shared" si="25"/>
        <v>39.4684211</v>
      </c>
      <c r="W99" s="44">
        <v>0</v>
      </c>
      <c r="X99" s="45">
        <v>0</v>
      </c>
      <c r="Y99" s="124">
        <v>1</v>
      </c>
      <c r="Z99" s="124">
        <v>0</v>
      </c>
      <c r="AA99" s="124"/>
      <c r="AB99" s="124">
        <v>5.99</v>
      </c>
      <c r="AC99" s="130">
        <f t="shared" si="26"/>
        <v>5.99</v>
      </c>
      <c r="AD99" s="45">
        <v>7</v>
      </c>
      <c r="AE99" s="46">
        <v>300</v>
      </c>
      <c r="AF99" s="47">
        <v>57</v>
      </c>
      <c r="AG99" s="167">
        <f t="shared" si="18"/>
        <v>22.459505026955</v>
      </c>
      <c r="AH99" s="168" t="str">
        <f t="shared" si="19"/>
        <v/>
      </c>
      <c r="AI99" s="168">
        <f t="shared" si="20"/>
        <v>118.2079211945</v>
      </c>
      <c r="AJ99" s="167" t="str">
        <f t="shared" si="21"/>
        <v/>
      </c>
      <c r="AK99" s="167">
        <f t="shared" si="22"/>
        <v>654108</v>
      </c>
      <c r="AL99" s="167">
        <f t="shared" si="23"/>
        <v>43027.683314798</v>
      </c>
      <c r="AM99" s="167" t="str">
        <f t="shared" si="24"/>
        <v/>
      </c>
    </row>
    <row r="100" spans="1:39" x14ac:dyDescent="0.25">
      <c r="A100" s="128" t="s">
        <v>358</v>
      </c>
      <c r="B100" s="128" t="s">
        <v>203</v>
      </c>
      <c r="C100" s="128" t="s">
        <v>359</v>
      </c>
      <c r="D100" s="128"/>
      <c r="E100" s="128">
        <v>1</v>
      </c>
      <c r="F100" s="128"/>
      <c r="G100" s="128">
        <v>0</v>
      </c>
      <c r="H100" s="128">
        <v>0</v>
      </c>
      <c r="I100" s="128">
        <v>0</v>
      </c>
      <c r="J100" s="99" t="s">
        <v>142</v>
      </c>
      <c r="K100" s="42" t="s">
        <v>351</v>
      </c>
      <c r="L100" s="37">
        <v>4.5</v>
      </c>
      <c r="M100" s="37">
        <v>17</v>
      </c>
      <c r="N100" s="42"/>
      <c r="O100" s="42"/>
      <c r="P100" s="42"/>
      <c r="Q100" s="42"/>
      <c r="R100" s="37"/>
      <c r="S100" s="38">
        <v>600</v>
      </c>
      <c r="T100" s="43" t="s">
        <v>46</v>
      </c>
      <c r="U100" s="39">
        <v>639.17647060000002</v>
      </c>
      <c r="V100" s="25">
        <f t="shared" si="25"/>
        <v>39.176470600000016</v>
      </c>
      <c r="W100" s="44">
        <v>0</v>
      </c>
      <c r="X100" s="45">
        <v>0</v>
      </c>
      <c r="Y100" s="124">
        <v>1</v>
      </c>
      <c r="Z100" s="124">
        <v>0</v>
      </c>
      <c r="AA100" s="124"/>
      <c r="AB100" s="124">
        <v>7.5</v>
      </c>
      <c r="AC100" s="130">
        <f t="shared" si="26"/>
        <v>7.5</v>
      </c>
      <c r="AD100" s="45">
        <v>6</v>
      </c>
      <c r="AE100" s="46">
        <v>20</v>
      </c>
      <c r="AF100" s="47">
        <v>17</v>
      </c>
      <c r="AG100" s="167">
        <f t="shared" si="18"/>
        <v>8.3250000025000048</v>
      </c>
      <c r="AH100" s="168" t="str">
        <f t="shared" si="19"/>
        <v/>
      </c>
      <c r="AI100" s="168">
        <f t="shared" si="20"/>
        <v>9.794117650000004</v>
      </c>
      <c r="AJ100" s="167" t="str">
        <f t="shared" si="21"/>
        <v/>
      </c>
      <c r="AK100" s="167">
        <f t="shared" si="22"/>
        <v>46800</v>
      </c>
      <c r="AL100" s="167">
        <f t="shared" si="23"/>
        <v>3055.7647068000015</v>
      </c>
      <c r="AM100" s="167" t="str">
        <f t="shared" si="24"/>
        <v/>
      </c>
    </row>
    <row r="101" spans="1:39" x14ac:dyDescent="0.25">
      <c r="A101" s="128" t="s">
        <v>360</v>
      </c>
      <c r="B101" s="128" t="s">
        <v>42</v>
      </c>
      <c r="C101" s="128" t="s">
        <v>361</v>
      </c>
      <c r="D101" s="128"/>
      <c r="E101" s="128">
        <v>1</v>
      </c>
      <c r="F101" s="128"/>
      <c r="G101" s="128">
        <v>1</v>
      </c>
      <c r="H101" s="128">
        <v>1</v>
      </c>
      <c r="I101" s="128">
        <v>0</v>
      </c>
      <c r="J101" s="99" t="s">
        <v>142</v>
      </c>
      <c r="K101" s="42" t="s">
        <v>351</v>
      </c>
      <c r="L101" s="37">
        <v>4.5</v>
      </c>
      <c r="M101" s="37">
        <v>38</v>
      </c>
      <c r="N101" s="42"/>
      <c r="O101" s="42"/>
      <c r="P101" s="42"/>
      <c r="Q101" s="42"/>
      <c r="R101" s="37"/>
      <c r="S101" s="38">
        <v>600</v>
      </c>
      <c r="T101" s="43" t="s">
        <v>46</v>
      </c>
      <c r="U101" s="39">
        <v>594.75263159999997</v>
      </c>
      <c r="V101" s="25">
        <f t="shared" si="25"/>
        <v>-5.2473684000000276</v>
      </c>
      <c r="W101" s="44">
        <v>0</v>
      </c>
      <c r="X101" s="45">
        <v>0</v>
      </c>
      <c r="Y101" s="124">
        <v>1</v>
      </c>
      <c r="Z101" s="124">
        <v>0</v>
      </c>
      <c r="AA101" s="124"/>
      <c r="AB101" s="124">
        <v>7.49</v>
      </c>
      <c r="AC101" s="130">
        <f t="shared" si="26"/>
        <v>7.49</v>
      </c>
      <c r="AD101" s="45">
        <v>7</v>
      </c>
      <c r="AE101" s="46">
        <v>120</v>
      </c>
      <c r="AF101" s="47">
        <v>38</v>
      </c>
      <c r="AG101" s="167" t="str">
        <f t="shared" si="18"/>
        <v/>
      </c>
      <c r="AH101" s="168">
        <f t="shared" si="19"/>
        <v>-2.4891766566800131</v>
      </c>
      <c r="AI101" s="168" t="str">
        <f t="shared" si="20"/>
        <v/>
      </c>
      <c r="AJ101" s="167">
        <f t="shared" si="21"/>
        <v>-7.8605578632000412</v>
      </c>
      <c r="AK101" s="167">
        <f t="shared" si="22"/>
        <v>327163.2</v>
      </c>
      <c r="AL101" s="167" t="str">
        <f t="shared" si="23"/>
        <v/>
      </c>
      <c r="AM101" s="167">
        <f t="shared" si="24"/>
        <v>2861.243062204815</v>
      </c>
    </row>
    <row r="102" spans="1:39" x14ac:dyDescent="0.25">
      <c r="A102" s="128"/>
      <c r="B102" s="128"/>
      <c r="C102" s="128"/>
      <c r="D102" s="128"/>
      <c r="E102" s="128"/>
      <c r="F102" s="128"/>
      <c r="G102" s="128">
        <v>0</v>
      </c>
      <c r="H102" s="128">
        <v>0</v>
      </c>
      <c r="I102" s="128">
        <v>0</v>
      </c>
      <c r="J102" s="99" t="s">
        <v>141</v>
      </c>
      <c r="K102" s="42" t="s">
        <v>351</v>
      </c>
      <c r="L102" s="37">
        <v>4.5</v>
      </c>
      <c r="M102" s="37">
        <v>30</v>
      </c>
      <c r="N102" s="42"/>
      <c r="O102" s="42"/>
      <c r="P102" s="42"/>
      <c r="Q102" s="42"/>
      <c r="R102" s="37"/>
      <c r="S102" s="38">
        <v>600</v>
      </c>
      <c r="T102" s="43" t="s">
        <v>46</v>
      </c>
      <c r="U102" s="39">
        <v>615.55666670000005</v>
      </c>
      <c r="V102" s="25">
        <f t="shared" si="25"/>
        <v>15.556666700000051</v>
      </c>
      <c r="W102" s="44">
        <v>0</v>
      </c>
      <c r="X102" s="45">
        <v>0</v>
      </c>
      <c r="Y102" s="124">
        <v>1</v>
      </c>
      <c r="Z102" s="124">
        <v>0</v>
      </c>
      <c r="AA102" s="124"/>
      <c r="AB102" s="124">
        <v>5.99</v>
      </c>
      <c r="AC102" s="130">
        <f t="shared" si="26"/>
        <v>5.99</v>
      </c>
      <c r="AD102" s="45">
        <v>7</v>
      </c>
      <c r="AE102" s="46">
        <v>30</v>
      </c>
      <c r="AF102" s="47">
        <v>30</v>
      </c>
      <c r="AG102" s="167">
        <f t="shared" si="18"/>
        <v>4.6592216766500156</v>
      </c>
      <c r="AH102" s="168" t="str">
        <f t="shared" si="19"/>
        <v/>
      </c>
      <c r="AI102" s="168">
        <f t="shared" si="20"/>
        <v>4.6592216766500156</v>
      </c>
      <c r="AJ102" s="167" t="str">
        <f t="shared" si="21"/>
        <v/>
      </c>
      <c r="AK102" s="167">
        <f t="shared" si="22"/>
        <v>65410.8</v>
      </c>
      <c r="AL102" s="167">
        <f t="shared" si="23"/>
        <v>1695.9566903006057</v>
      </c>
      <c r="AM102" s="167" t="str">
        <f t="shared" si="24"/>
        <v/>
      </c>
    </row>
    <row r="103" spans="1:39" x14ac:dyDescent="0.25">
      <c r="A103" s="128" t="s">
        <v>362</v>
      </c>
      <c r="B103" s="128" t="s">
        <v>42</v>
      </c>
      <c r="C103" s="128" t="s">
        <v>363</v>
      </c>
      <c r="D103" s="128"/>
      <c r="E103" s="128">
        <v>1</v>
      </c>
      <c r="F103" s="128"/>
      <c r="G103" s="128">
        <v>0</v>
      </c>
      <c r="H103" s="128">
        <v>0</v>
      </c>
      <c r="I103" s="128">
        <v>0</v>
      </c>
      <c r="J103" s="99" t="s">
        <v>141</v>
      </c>
      <c r="K103" s="42" t="s">
        <v>351</v>
      </c>
      <c r="L103" s="37">
        <v>4.5</v>
      </c>
      <c r="M103" s="37"/>
      <c r="N103" s="42"/>
      <c r="O103" s="42">
        <v>1</v>
      </c>
      <c r="P103" s="42"/>
      <c r="Q103" s="42"/>
      <c r="R103" s="37"/>
      <c r="S103" s="38">
        <v>600</v>
      </c>
      <c r="T103" s="43" t="s">
        <v>46</v>
      </c>
      <c r="U103" s="39">
        <v>644.96</v>
      </c>
      <c r="V103" s="25">
        <f t="shared" si="25"/>
        <v>44.960000000000036</v>
      </c>
      <c r="W103" s="44">
        <v>0</v>
      </c>
      <c r="X103" s="45">
        <v>0</v>
      </c>
      <c r="Y103" s="124">
        <v>1</v>
      </c>
      <c r="Z103" s="124">
        <v>0</v>
      </c>
      <c r="AA103" s="124"/>
      <c r="AB103" s="124">
        <v>4.99</v>
      </c>
      <c r="AC103" s="130">
        <f t="shared" si="26"/>
        <v>4.99</v>
      </c>
      <c r="AD103" s="45">
        <v>7</v>
      </c>
      <c r="AE103" s="46">
        <v>216</v>
      </c>
      <c r="AF103" s="47">
        <v>108</v>
      </c>
      <c r="AG103" s="167">
        <f t="shared" si="18"/>
        <v>40.383072000000034</v>
      </c>
      <c r="AH103" s="168" t="str">
        <f t="shared" si="19"/>
        <v/>
      </c>
      <c r="AI103" s="168">
        <f t="shared" si="20"/>
        <v>80.766144000000068</v>
      </c>
      <c r="AJ103" s="167" t="str">
        <f t="shared" si="21"/>
        <v/>
      </c>
      <c r="AK103" s="167">
        <f t="shared" si="22"/>
        <v>392333.76000000007</v>
      </c>
      <c r="AL103" s="167">
        <f t="shared" si="23"/>
        <v>29398.876416000025</v>
      </c>
      <c r="AM103" s="167" t="str">
        <f t="shared" si="24"/>
        <v/>
      </c>
    </row>
    <row r="104" spans="1:39" x14ac:dyDescent="0.25">
      <c r="A104" s="128"/>
      <c r="B104" s="128"/>
      <c r="C104" s="128"/>
      <c r="D104" s="128"/>
      <c r="E104" s="128"/>
      <c r="F104" s="128"/>
      <c r="G104" s="128">
        <v>0</v>
      </c>
      <c r="H104" s="128">
        <v>0</v>
      </c>
      <c r="I104" s="128">
        <v>0</v>
      </c>
      <c r="J104" s="99" t="s">
        <v>142</v>
      </c>
      <c r="K104" s="42" t="s">
        <v>351</v>
      </c>
      <c r="L104" s="37">
        <v>4.5</v>
      </c>
      <c r="M104" s="37"/>
      <c r="N104" s="42"/>
      <c r="O104" s="42">
        <v>1</v>
      </c>
      <c r="P104" s="42"/>
      <c r="Q104" s="42"/>
      <c r="R104" s="37"/>
      <c r="S104" s="38">
        <v>600</v>
      </c>
      <c r="T104" s="43" t="s">
        <v>46</v>
      </c>
      <c r="U104" s="39">
        <v>614.94000000000005</v>
      </c>
      <c r="V104" s="25">
        <f t="shared" si="25"/>
        <v>14.940000000000055</v>
      </c>
      <c r="W104" s="44">
        <v>0</v>
      </c>
      <c r="X104" s="45">
        <v>0</v>
      </c>
      <c r="Y104" s="124">
        <v>1</v>
      </c>
      <c r="Z104" s="124">
        <v>0</v>
      </c>
      <c r="AA104" s="124"/>
      <c r="AB104" s="124">
        <v>5.99</v>
      </c>
      <c r="AC104" s="130">
        <f t="shared" si="26"/>
        <v>5.99</v>
      </c>
      <c r="AD104" s="45">
        <v>7</v>
      </c>
      <c r="AE104" s="46">
        <v>162</v>
      </c>
      <c r="AF104" s="47">
        <v>108</v>
      </c>
      <c r="AG104" s="167">
        <f t="shared" si="18"/>
        <v>16.108308000000061</v>
      </c>
      <c r="AH104" s="168" t="str">
        <f t="shared" si="19"/>
        <v/>
      </c>
      <c r="AI104" s="168">
        <f t="shared" si="20"/>
        <v>24.16246200000009</v>
      </c>
      <c r="AJ104" s="167" t="str">
        <f t="shared" si="21"/>
        <v/>
      </c>
      <c r="AK104" s="167">
        <f t="shared" si="22"/>
        <v>353218.32</v>
      </c>
      <c r="AL104" s="167">
        <f t="shared" si="23"/>
        <v>8795.1361680000336</v>
      </c>
      <c r="AM104" s="167" t="str">
        <f t="shared" si="24"/>
        <v/>
      </c>
    </row>
    <row r="105" spans="1:39" x14ac:dyDescent="0.25">
      <c r="A105" s="128" t="s">
        <v>364</v>
      </c>
      <c r="B105" s="128" t="s">
        <v>42</v>
      </c>
      <c r="C105" s="128" t="s">
        <v>365</v>
      </c>
      <c r="D105" s="128"/>
      <c r="E105" s="128">
        <v>1</v>
      </c>
      <c r="F105" s="128"/>
      <c r="G105" s="128">
        <v>0</v>
      </c>
      <c r="H105" s="128">
        <v>0</v>
      </c>
      <c r="I105" s="128">
        <v>0</v>
      </c>
      <c r="J105" s="99" t="s">
        <v>142</v>
      </c>
      <c r="K105" s="42" t="s">
        <v>351</v>
      </c>
      <c r="L105" s="37">
        <v>4.5</v>
      </c>
      <c r="M105" s="37">
        <v>27</v>
      </c>
      <c r="N105" s="42"/>
      <c r="O105" s="42"/>
      <c r="P105" s="42"/>
      <c r="Q105" s="42"/>
      <c r="R105" s="37"/>
      <c r="S105" s="38">
        <v>600</v>
      </c>
      <c r="T105" s="43" t="s">
        <v>46</v>
      </c>
      <c r="U105" s="39">
        <v>604.16296299999999</v>
      </c>
      <c r="V105" s="25">
        <f t="shared" si="25"/>
        <v>4.1629629999999906</v>
      </c>
      <c r="W105" s="44">
        <v>0</v>
      </c>
      <c r="X105" s="45">
        <v>0</v>
      </c>
      <c r="Y105" s="124">
        <v>1</v>
      </c>
      <c r="Z105" s="124">
        <v>0</v>
      </c>
      <c r="AA105" s="124"/>
      <c r="AB105" s="124">
        <v>5.99</v>
      </c>
      <c r="AC105" s="130">
        <f t="shared" si="26"/>
        <v>5.99</v>
      </c>
      <c r="AD105" s="45">
        <v>7</v>
      </c>
      <c r="AE105" s="46">
        <v>200</v>
      </c>
      <c r="AF105" s="47">
        <v>27</v>
      </c>
      <c r="AG105" s="167">
        <f t="shared" si="18"/>
        <v>1.1221266766499975</v>
      </c>
      <c r="AH105" s="168" t="str">
        <f t="shared" si="19"/>
        <v/>
      </c>
      <c r="AI105" s="168">
        <f t="shared" si="20"/>
        <v>8.3120494566666476</v>
      </c>
      <c r="AJ105" s="167" t="str">
        <f t="shared" si="21"/>
        <v/>
      </c>
      <c r="AK105" s="167">
        <f t="shared" si="22"/>
        <v>436072</v>
      </c>
      <c r="AL105" s="167">
        <f t="shared" si="23"/>
        <v>3025.5860022266597</v>
      </c>
      <c r="AM105" s="167" t="str">
        <f t="shared" si="24"/>
        <v/>
      </c>
    </row>
    <row r="106" spans="1:39" x14ac:dyDescent="0.25">
      <c r="A106" s="128"/>
      <c r="B106" s="128"/>
      <c r="C106" s="128"/>
      <c r="D106" s="128"/>
      <c r="E106" s="128"/>
      <c r="F106" s="128"/>
      <c r="G106" s="128">
        <v>0</v>
      </c>
      <c r="H106" s="128">
        <v>0</v>
      </c>
      <c r="I106" s="128">
        <v>0</v>
      </c>
      <c r="J106" s="99" t="s">
        <v>141</v>
      </c>
      <c r="K106" s="42" t="s">
        <v>351</v>
      </c>
      <c r="L106" s="37">
        <v>4.5</v>
      </c>
      <c r="M106" s="37">
        <v>11</v>
      </c>
      <c r="N106" s="42"/>
      <c r="O106" s="42"/>
      <c r="P106" s="42"/>
      <c r="Q106" s="42"/>
      <c r="R106" s="37"/>
      <c r="S106" s="38">
        <v>600</v>
      </c>
      <c r="T106" s="43" t="s">
        <v>46</v>
      </c>
      <c r="U106" s="39">
        <v>601.00909090000005</v>
      </c>
      <c r="V106" s="25">
        <f t="shared" si="25"/>
        <v>1.0090909000000465</v>
      </c>
      <c r="W106" s="44">
        <v>0</v>
      </c>
      <c r="X106" s="45">
        <v>0</v>
      </c>
      <c r="Y106" s="124">
        <v>1</v>
      </c>
      <c r="Z106" s="124">
        <v>0</v>
      </c>
      <c r="AA106" s="124"/>
      <c r="AB106" s="124">
        <v>4.99</v>
      </c>
      <c r="AC106" s="130">
        <f t="shared" si="26"/>
        <v>4.99</v>
      </c>
      <c r="AD106" s="45">
        <v>7</v>
      </c>
      <c r="AE106" s="46">
        <v>160</v>
      </c>
      <c r="AF106" s="47">
        <v>11</v>
      </c>
      <c r="AG106" s="167">
        <f t="shared" si="18"/>
        <v>9.2314999168337575E-2</v>
      </c>
      <c r="AH106" s="168" t="str">
        <f t="shared" si="19"/>
        <v/>
      </c>
      <c r="AI106" s="168">
        <f t="shared" si="20"/>
        <v>1.3427636242667285</v>
      </c>
      <c r="AJ106" s="167" t="str">
        <f t="shared" si="21"/>
        <v/>
      </c>
      <c r="AK106" s="167">
        <f t="shared" si="22"/>
        <v>290617.60000000003</v>
      </c>
      <c r="AL106" s="167">
        <f t="shared" si="23"/>
        <v>488.76595923308912</v>
      </c>
      <c r="AM106" s="167" t="str">
        <f t="shared" si="24"/>
        <v/>
      </c>
    </row>
    <row r="107" spans="1:39" x14ac:dyDescent="0.25">
      <c r="A107" s="128" t="s">
        <v>210</v>
      </c>
      <c r="B107" s="128" t="s">
        <v>42</v>
      </c>
      <c r="C107" s="128" t="s">
        <v>366</v>
      </c>
      <c r="D107" s="128"/>
      <c r="E107" s="128">
        <v>1</v>
      </c>
      <c r="F107" s="128"/>
      <c r="G107" s="128">
        <v>0</v>
      </c>
      <c r="H107" s="128">
        <v>0</v>
      </c>
      <c r="I107" s="128">
        <v>0</v>
      </c>
      <c r="J107" s="99" t="s">
        <v>142</v>
      </c>
      <c r="K107" s="42" t="s">
        <v>351</v>
      </c>
      <c r="L107" s="37">
        <v>4.5</v>
      </c>
      <c r="M107" s="37"/>
      <c r="N107" s="42"/>
      <c r="O107" s="42">
        <v>1</v>
      </c>
      <c r="P107" s="42"/>
      <c r="Q107" s="42"/>
      <c r="R107" s="37"/>
      <c r="S107" s="38">
        <v>600</v>
      </c>
      <c r="T107" s="43" t="s">
        <v>46</v>
      </c>
      <c r="U107" s="39">
        <v>614.96600000000001</v>
      </c>
      <c r="V107" s="25">
        <f t="shared" si="25"/>
        <v>14.966000000000008</v>
      </c>
      <c r="W107" s="44">
        <v>0</v>
      </c>
      <c r="X107" s="45">
        <v>0</v>
      </c>
      <c r="Y107" s="124">
        <v>1</v>
      </c>
      <c r="Z107" s="124">
        <v>0</v>
      </c>
      <c r="AA107" s="124"/>
      <c r="AB107" s="124">
        <v>6</v>
      </c>
      <c r="AC107" s="130">
        <f t="shared" si="26"/>
        <v>6</v>
      </c>
      <c r="AD107" s="45">
        <v>7</v>
      </c>
      <c r="AE107" s="46">
        <v>120</v>
      </c>
      <c r="AF107" s="47">
        <v>120</v>
      </c>
      <c r="AG107" s="167">
        <f t="shared" si="18"/>
        <v>17.959200000000013</v>
      </c>
      <c r="AH107" s="168" t="str">
        <f t="shared" si="19"/>
        <v/>
      </c>
      <c r="AI107" s="168">
        <f t="shared" si="20"/>
        <v>17.959200000000013</v>
      </c>
      <c r="AJ107" s="167" t="str">
        <f t="shared" si="21"/>
        <v/>
      </c>
      <c r="AK107" s="167">
        <f t="shared" si="22"/>
        <v>262080</v>
      </c>
      <c r="AL107" s="167">
        <f t="shared" si="23"/>
        <v>6537.1488000000054</v>
      </c>
      <c r="AM107" s="167" t="str">
        <f t="shared" si="24"/>
        <v/>
      </c>
    </row>
    <row r="108" spans="1:39" x14ac:dyDescent="0.25">
      <c r="A108" s="128" t="s">
        <v>367</v>
      </c>
      <c r="B108" s="128" t="s">
        <v>42</v>
      </c>
      <c r="C108" s="128" t="s">
        <v>368</v>
      </c>
      <c r="D108" s="128"/>
      <c r="E108" s="128">
        <v>1</v>
      </c>
      <c r="F108" s="128"/>
      <c r="G108" s="128">
        <v>0</v>
      </c>
      <c r="H108" s="128">
        <v>0</v>
      </c>
      <c r="I108" s="128">
        <v>0</v>
      </c>
      <c r="J108" s="99" t="s">
        <v>141</v>
      </c>
      <c r="K108" s="42" t="s">
        <v>351</v>
      </c>
      <c r="L108" s="37">
        <v>4.5</v>
      </c>
      <c r="M108" s="37">
        <v>50</v>
      </c>
      <c r="N108" s="42"/>
      <c r="O108" s="42"/>
      <c r="P108" s="42"/>
      <c r="Q108" s="42"/>
      <c r="R108" s="37"/>
      <c r="S108" s="38">
        <v>600</v>
      </c>
      <c r="T108" s="43" t="s">
        <v>46</v>
      </c>
      <c r="U108" s="39">
        <v>650.31600000000003</v>
      </c>
      <c r="V108" s="25">
        <f t="shared" si="25"/>
        <v>50.316000000000031</v>
      </c>
      <c r="W108" s="44">
        <v>1</v>
      </c>
      <c r="X108" s="45">
        <v>0</v>
      </c>
      <c r="Y108" s="124">
        <v>1</v>
      </c>
      <c r="Z108" s="124">
        <v>0</v>
      </c>
      <c r="AA108" s="124"/>
      <c r="AB108" s="124">
        <v>5.99</v>
      </c>
      <c r="AC108" s="130">
        <f t="shared" si="26"/>
        <v>5.99</v>
      </c>
      <c r="AD108" s="45">
        <v>7</v>
      </c>
      <c r="AE108" s="46">
        <v>270</v>
      </c>
      <c r="AF108" s="47">
        <v>50</v>
      </c>
      <c r="AG108" s="167">
        <f t="shared" si="18"/>
        <v>25.116070000000018</v>
      </c>
      <c r="AH108" s="168" t="str">
        <f t="shared" si="19"/>
        <v/>
      </c>
      <c r="AI108" s="168">
        <f t="shared" si="20"/>
        <v>135.62677800000009</v>
      </c>
      <c r="AJ108" s="167" t="str">
        <f t="shared" si="21"/>
        <v/>
      </c>
      <c r="AK108" s="167">
        <f t="shared" si="22"/>
        <v>588697.20000000007</v>
      </c>
      <c r="AL108" s="167">
        <f t="shared" si="23"/>
        <v>49368.147192000033</v>
      </c>
      <c r="AM108" s="167" t="str">
        <f t="shared" si="24"/>
        <v/>
      </c>
    </row>
    <row r="109" spans="1:39" x14ac:dyDescent="0.25">
      <c r="A109" s="128"/>
      <c r="B109" s="128"/>
      <c r="C109" s="128"/>
      <c r="D109" s="128"/>
      <c r="E109" s="128"/>
      <c r="F109" s="128"/>
      <c r="G109" s="128">
        <v>0</v>
      </c>
      <c r="H109" s="128">
        <v>0</v>
      </c>
      <c r="I109" s="128">
        <v>0</v>
      </c>
      <c r="J109" s="99" t="s">
        <v>142</v>
      </c>
      <c r="K109" s="42" t="s">
        <v>351</v>
      </c>
      <c r="L109" s="37">
        <v>4.5</v>
      </c>
      <c r="M109" s="37">
        <v>50</v>
      </c>
      <c r="N109" s="42"/>
      <c r="O109" s="42"/>
      <c r="P109" s="42"/>
      <c r="Q109" s="42"/>
      <c r="R109" s="37"/>
      <c r="S109" s="38">
        <v>600</v>
      </c>
      <c r="T109" s="43" t="s">
        <v>46</v>
      </c>
      <c r="U109" s="39">
        <v>621.726</v>
      </c>
      <c r="V109" s="25">
        <f t="shared" si="25"/>
        <v>21.725999999999999</v>
      </c>
      <c r="W109" s="44">
        <v>0</v>
      </c>
      <c r="X109" s="45">
        <v>0</v>
      </c>
      <c r="Y109" s="124">
        <v>1</v>
      </c>
      <c r="Z109" s="124">
        <v>0</v>
      </c>
      <c r="AA109" s="124"/>
      <c r="AB109" s="124">
        <v>6.99</v>
      </c>
      <c r="AC109" s="130">
        <f t="shared" si="26"/>
        <v>6.99</v>
      </c>
      <c r="AD109" s="45">
        <v>7</v>
      </c>
      <c r="AE109" s="46">
        <v>162</v>
      </c>
      <c r="AF109" s="47">
        <v>50</v>
      </c>
      <c r="AG109" s="167">
        <f t="shared" si="18"/>
        <v>12.655395</v>
      </c>
      <c r="AH109" s="168" t="str">
        <f t="shared" si="19"/>
        <v/>
      </c>
      <c r="AI109" s="168">
        <f t="shared" si="20"/>
        <v>41.003479800000001</v>
      </c>
      <c r="AJ109" s="167" t="str">
        <f t="shared" si="21"/>
        <v/>
      </c>
      <c r="AK109" s="167">
        <f t="shared" si="22"/>
        <v>412186.32000000007</v>
      </c>
      <c r="AL109" s="167">
        <f t="shared" si="23"/>
        <v>14925.266647200002</v>
      </c>
      <c r="AM109" s="167" t="str">
        <f t="shared" si="24"/>
        <v/>
      </c>
    </row>
    <row r="110" spans="1:39" x14ac:dyDescent="0.25">
      <c r="A110" s="128" t="s">
        <v>369</v>
      </c>
      <c r="B110" s="128" t="s">
        <v>42</v>
      </c>
      <c r="C110" s="128" t="s">
        <v>370</v>
      </c>
      <c r="D110" s="128"/>
      <c r="E110" s="128">
        <v>1</v>
      </c>
      <c r="F110" s="128"/>
      <c r="G110" s="128">
        <v>0</v>
      </c>
      <c r="H110" s="128">
        <v>0</v>
      </c>
      <c r="I110" s="128">
        <v>0</v>
      </c>
      <c r="J110" s="99" t="s">
        <v>142</v>
      </c>
      <c r="K110" s="42" t="s">
        <v>351</v>
      </c>
      <c r="L110" s="37">
        <v>4.5</v>
      </c>
      <c r="M110" s="37">
        <v>12</v>
      </c>
      <c r="N110" s="42"/>
      <c r="O110" s="42"/>
      <c r="P110" s="42"/>
      <c r="Q110" s="42"/>
      <c r="R110" s="37"/>
      <c r="S110" s="38">
        <v>700</v>
      </c>
      <c r="T110" s="43" t="s">
        <v>46</v>
      </c>
      <c r="U110" s="39">
        <v>718.23333330000003</v>
      </c>
      <c r="V110" s="25">
        <f t="shared" si="25"/>
        <v>18.233333300000027</v>
      </c>
      <c r="W110" s="44">
        <v>0</v>
      </c>
      <c r="X110" s="45">
        <v>0</v>
      </c>
      <c r="Y110" s="124">
        <v>1</v>
      </c>
      <c r="Z110" s="124">
        <v>0</v>
      </c>
      <c r="AA110" s="124"/>
      <c r="AB110" s="124">
        <v>5</v>
      </c>
      <c r="AC110" s="130">
        <f t="shared" si="26"/>
        <v>5</v>
      </c>
      <c r="AD110" s="45">
        <v>7</v>
      </c>
      <c r="AE110" s="46">
        <v>24</v>
      </c>
      <c r="AF110" s="47">
        <v>12</v>
      </c>
      <c r="AG110" s="167">
        <f t="shared" si="18"/>
        <v>1.5628571400000024</v>
      </c>
      <c r="AH110" s="168" t="str">
        <f t="shared" si="19"/>
        <v/>
      </c>
      <c r="AI110" s="168">
        <f t="shared" si="20"/>
        <v>3.1257142800000048</v>
      </c>
      <c r="AJ110" s="167" t="str">
        <f t="shared" si="21"/>
        <v/>
      </c>
      <c r="AK110" s="167">
        <f t="shared" si="22"/>
        <v>43680</v>
      </c>
      <c r="AL110" s="167">
        <f t="shared" si="23"/>
        <v>1137.7599979200018</v>
      </c>
      <c r="AM110" s="167" t="str">
        <f t="shared" si="24"/>
        <v/>
      </c>
    </row>
    <row r="111" spans="1:39" x14ac:dyDescent="0.25">
      <c r="A111" s="128" t="s">
        <v>371</v>
      </c>
      <c r="B111" s="128" t="s">
        <v>42</v>
      </c>
      <c r="C111" s="128" t="s">
        <v>372</v>
      </c>
      <c r="D111" s="128"/>
      <c r="E111" s="128">
        <v>1</v>
      </c>
      <c r="F111" s="128"/>
      <c r="G111" s="128">
        <v>1</v>
      </c>
      <c r="H111" s="128">
        <v>1</v>
      </c>
      <c r="I111" s="128">
        <v>0</v>
      </c>
      <c r="J111" s="99" t="s">
        <v>141</v>
      </c>
      <c r="K111" s="42" t="s">
        <v>351</v>
      </c>
      <c r="L111" s="37">
        <v>4.5</v>
      </c>
      <c r="M111" s="37"/>
      <c r="N111" s="42"/>
      <c r="O111" s="42">
        <v>1</v>
      </c>
      <c r="P111" s="42"/>
      <c r="Q111" s="42"/>
      <c r="R111" s="37"/>
      <c r="S111" s="38">
        <v>600</v>
      </c>
      <c r="T111" s="43" t="s">
        <v>46</v>
      </c>
      <c r="U111" s="39">
        <v>601.15686400000004</v>
      </c>
      <c r="V111" s="25">
        <f t="shared" si="25"/>
        <v>1.1568640000000414</v>
      </c>
      <c r="W111" s="44">
        <v>4</v>
      </c>
      <c r="X111" s="45">
        <v>0</v>
      </c>
      <c r="Y111" s="124">
        <v>1</v>
      </c>
      <c r="Z111" s="124">
        <v>0</v>
      </c>
      <c r="AA111" s="124"/>
      <c r="AB111" s="124">
        <v>5.19</v>
      </c>
      <c r="AC111" s="130">
        <f t="shared" si="26"/>
        <v>5.19</v>
      </c>
      <c r="AD111" s="45">
        <v>7</v>
      </c>
      <c r="AE111" s="46">
        <v>220</v>
      </c>
      <c r="AF111" s="47">
        <v>110</v>
      </c>
      <c r="AG111" s="167">
        <f t="shared" si="18"/>
        <v>1.1007560960000395</v>
      </c>
      <c r="AH111" s="168" t="str">
        <f t="shared" si="19"/>
        <v/>
      </c>
      <c r="AI111" s="168">
        <f t="shared" si="20"/>
        <v>2.2015121920000791</v>
      </c>
      <c r="AJ111" s="167" t="str">
        <f t="shared" si="21"/>
        <v/>
      </c>
      <c r="AK111" s="167">
        <f t="shared" si="22"/>
        <v>415615.20000000007</v>
      </c>
      <c r="AL111" s="167">
        <f t="shared" si="23"/>
        <v>801.35043788802875</v>
      </c>
      <c r="AM111" s="167" t="str">
        <f t="shared" si="24"/>
        <v/>
      </c>
    </row>
    <row r="112" spans="1:39" x14ac:dyDescent="0.25">
      <c r="A112" s="128"/>
      <c r="B112" s="128"/>
      <c r="C112" s="128"/>
      <c r="D112" s="128"/>
      <c r="E112" s="128"/>
      <c r="F112" s="128"/>
      <c r="G112" s="128">
        <v>1</v>
      </c>
      <c r="H112" s="128">
        <v>1</v>
      </c>
      <c r="I112" s="128">
        <v>0</v>
      </c>
      <c r="J112" s="99" t="s">
        <v>142</v>
      </c>
      <c r="K112" s="42" t="s">
        <v>351</v>
      </c>
      <c r="L112" s="37">
        <v>4.5</v>
      </c>
      <c r="M112" s="37"/>
      <c r="N112" s="42"/>
      <c r="O112" s="42">
        <v>1</v>
      </c>
      <c r="P112" s="42"/>
      <c r="Q112" s="42"/>
      <c r="R112" s="37"/>
      <c r="S112" s="38">
        <v>600</v>
      </c>
      <c r="T112" s="43" t="s">
        <v>46</v>
      </c>
      <c r="U112" s="39">
        <v>589.92107529999998</v>
      </c>
      <c r="V112" s="25">
        <f t="shared" si="25"/>
        <v>-10.078924700000016</v>
      </c>
      <c r="W112" s="44">
        <v>0</v>
      </c>
      <c r="X112" s="45">
        <v>1</v>
      </c>
      <c r="Y112" s="124">
        <v>1</v>
      </c>
      <c r="Z112" s="124">
        <v>0</v>
      </c>
      <c r="AA112" s="124"/>
      <c r="AB112" s="124">
        <v>5.69</v>
      </c>
      <c r="AC112" s="130">
        <f t="shared" si="26"/>
        <v>5.69</v>
      </c>
      <c r="AD112" s="45">
        <v>7</v>
      </c>
      <c r="AE112" s="46">
        <v>220</v>
      </c>
      <c r="AF112" s="47">
        <v>103</v>
      </c>
      <c r="AG112" s="167" t="str">
        <f t="shared" si="18"/>
        <v/>
      </c>
      <c r="AH112" s="168">
        <f t="shared" si="19"/>
        <v>-9.8449256648816821</v>
      </c>
      <c r="AI112" s="168" t="str">
        <f t="shared" si="20"/>
        <v/>
      </c>
      <c r="AJ112" s="167">
        <f t="shared" si="21"/>
        <v>-21.027996565766699</v>
      </c>
      <c r="AK112" s="167">
        <f t="shared" si="22"/>
        <v>455655.20000000013</v>
      </c>
      <c r="AL112" s="167" t="str">
        <f t="shared" si="23"/>
        <v/>
      </c>
      <c r="AM112" s="167">
        <f t="shared" si="24"/>
        <v>7654.1907499390782</v>
      </c>
    </row>
    <row r="113" spans="1:39" x14ac:dyDescent="0.25">
      <c r="A113" s="128" t="s">
        <v>373</v>
      </c>
      <c r="B113" s="128" t="s">
        <v>203</v>
      </c>
      <c r="C113" s="128" t="s">
        <v>374</v>
      </c>
      <c r="D113" s="128"/>
      <c r="E113" s="128">
        <v>1</v>
      </c>
      <c r="F113" s="128"/>
      <c r="G113" s="128">
        <v>0</v>
      </c>
      <c r="H113" s="128">
        <v>0</v>
      </c>
      <c r="I113" s="128">
        <v>0</v>
      </c>
      <c r="J113" s="99" t="s">
        <v>141</v>
      </c>
      <c r="K113" s="42" t="s">
        <v>351</v>
      </c>
      <c r="L113" s="37">
        <v>4.5</v>
      </c>
      <c r="M113" s="37">
        <v>75</v>
      </c>
      <c r="N113" s="42"/>
      <c r="O113" s="42"/>
      <c r="P113" s="42"/>
      <c r="Q113" s="42"/>
      <c r="R113" s="37"/>
      <c r="S113" s="38">
        <v>600</v>
      </c>
      <c r="T113" s="43" t="s">
        <v>46</v>
      </c>
      <c r="U113" s="39">
        <v>611.38666669999998</v>
      </c>
      <c r="V113" s="25">
        <f t="shared" si="25"/>
        <v>11.386666699999978</v>
      </c>
      <c r="W113" s="44">
        <v>0</v>
      </c>
      <c r="X113" s="45">
        <v>0</v>
      </c>
      <c r="Y113" s="124">
        <v>1</v>
      </c>
      <c r="Z113" s="124">
        <v>0</v>
      </c>
      <c r="AA113" s="124"/>
      <c r="AB113" s="124">
        <v>5.7</v>
      </c>
      <c r="AC113" s="130">
        <f t="shared" si="26"/>
        <v>5.7</v>
      </c>
      <c r="AD113" s="45">
        <v>7</v>
      </c>
      <c r="AE113" s="46">
        <v>120</v>
      </c>
      <c r="AF113" s="47">
        <v>75</v>
      </c>
      <c r="AG113" s="167">
        <f t="shared" si="18"/>
        <v>8.1130000237499846</v>
      </c>
      <c r="AH113" s="168" t="str">
        <f t="shared" si="19"/>
        <v/>
      </c>
      <c r="AI113" s="168">
        <f t="shared" si="20"/>
        <v>12.980800037999975</v>
      </c>
      <c r="AJ113" s="167" t="str">
        <f t="shared" si="21"/>
        <v/>
      </c>
      <c r="AK113" s="167">
        <f t="shared" si="22"/>
        <v>248976</v>
      </c>
      <c r="AL113" s="167">
        <f t="shared" si="23"/>
        <v>4725.011213831991</v>
      </c>
      <c r="AM113" s="167" t="str">
        <f t="shared" si="24"/>
        <v/>
      </c>
    </row>
    <row r="114" spans="1:39" x14ac:dyDescent="0.25">
      <c r="A114" s="128" t="s">
        <v>375</v>
      </c>
      <c r="B114" s="128" t="s">
        <v>42</v>
      </c>
      <c r="C114" s="128" t="s">
        <v>376</v>
      </c>
      <c r="D114" s="128"/>
      <c r="E114" s="128">
        <v>1</v>
      </c>
      <c r="F114" s="128"/>
      <c r="G114" s="128">
        <v>0</v>
      </c>
      <c r="H114" s="128">
        <v>0</v>
      </c>
      <c r="I114" s="128">
        <v>0</v>
      </c>
      <c r="J114" s="99" t="s">
        <v>141</v>
      </c>
      <c r="K114" s="42" t="s">
        <v>351</v>
      </c>
      <c r="L114" s="37">
        <v>4.5</v>
      </c>
      <c r="M114" s="37"/>
      <c r="N114" s="42"/>
      <c r="O114" s="42">
        <v>1</v>
      </c>
      <c r="P114" s="42"/>
      <c r="Q114" s="42"/>
      <c r="R114" s="37"/>
      <c r="S114" s="38">
        <v>700</v>
      </c>
      <c r="T114" s="43" t="s">
        <v>46</v>
      </c>
      <c r="U114" s="39">
        <v>720.76800000000003</v>
      </c>
      <c r="V114" s="25">
        <f t="shared" si="25"/>
        <v>20.768000000000029</v>
      </c>
      <c r="W114" s="44">
        <v>0</v>
      </c>
      <c r="X114" s="45">
        <v>0</v>
      </c>
      <c r="Y114" s="124">
        <v>1</v>
      </c>
      <c r="Z114" s="124">
        <v>0</v>
      </c>
      <c r="AA114" s="124"/>
      <c r="AB114" s="124">
        <v>6.79</v>
      </c>
      <c r="AC114" s="130">
        <f t="shared" si="26"/>
        <v>6.79</v>
      </c>
      <c r="AD114" s="45">
        <v>7</v>
      </c>
      <c r="AE114" s="46">
        <v>120</v>
      </c>
      <c r="AF114" s="47">
        <v>120</v>
      </c>
      <c r="AG114" s="167">
        <f t="shared" si="18"/>
        <v>24.173952000000035</v>
      </c>
      <c r="AH114" s="168" t="str">
        <f t="shared" si="19"/>
        <v/>
      </c>
      <c r="AI114" s="168">
        <f t="shared" si="20"/>
        <v>24.173952000000035</v>
      </c>
      <c r="AJ114" s="167" t="str">
        <f t="shared" si="21"/>
        <v/>
      </c>
      <c r="AK114" s="167">
        <f t="shared" si="22"/>
        <v>296587.19999999995</v>
      </c>
      <c r="AL114" s="167">
        <f t="shared" si="23"/>
        <v>8799.3185280000125</v>
      </c>
      <c r="AM114" s="167" t="str">
        <f t="shared" si="24"/>
        <v/>
      </c>
    </row>
    <row r="115" spans="1:39" x14ac:dyDescent="0.25">
      <c r="A115" s="128"/>
      <c r="B115" s="128"/>
      <c r="C115" s="128"/>
      <c r="D115" s="128"/>
      <c r="E115" s="128"/>
      <c r="F115" s="128"/>
      <c r="G115" s="128">
        <v>0</v>
      </c>
      <c r="H115" s="128">
        <v>0</v>
      </c>
      <c r="I115" s="128">
        <v>0</v>
      </c>
      <c r="J115" s="99" t="s">
        <v>142</v>
      </c>
      <c r="K115" s="42" t="s">
        <v>351</v>
      </c>
      <c r="L115" s="37">
        <v>4.5</v>
      </c>
      <c r="M115" s="37"/>
      <c r="N115" s="42"/>
      <c r="O115" s="42">
        <v>1</v>
      </c>
      <c r="P115" s="42"/>
      <c r="Q115" s="42"/>
      <c r="R115" s="37"/>
      <c r="S115" s="38">
        <v>700</v>
      </c>
      <c r="T115" s="43" t="s">
        <v>46</v>
      </c>
      <c r="U115" s="39">
        <v>716.822</v>
      </c>
      <c r="V115" s="25">
        <f t="shared" si="25"/>
        <v>16.822000000000003</v>
      </c>
      <c r="W115" s="44">
        <v>1</v>
      </c>
      <c r="X115" s="45">
        <v>0</v>
      </c>
      <c r="Y115" s="124">
        <v>1</v>
      </c>
      <c r="Z115" s="124">
        <v>0</v>
      </c>
      <c r="AA115" s="124"/>
      <c r="AB115" s="124">
        <v>7.99</v>
      </c>
      <c r="AC115" s="130">
        <f t="shared" si="26"/>
        <v>7.99</v>
      </c>
      <c r="AD115" s="45">
        <v>7</v>
      </c>
      <c r="AE115" s="46">
        <v>120</v>
      </c>
      <c r="AF115" s="47">
        <v>120</v>
      </c>
      <c r="AG115" s="167">
        <f t="shared" si="18"/>
        <v>23.04133371428572</v>
      </c>
      <c r="AH115" s="168" t="str">
        <f t="shared" si="19"/>
        <v/>
      </c>
      <c r="AI115" s="168">
        <f t="shared" si="20"/>
        <v>23.04133371428572</v>
      </c>
      <c r="AJ115" s="167" t="str">
        <f t="shared" si="21"/>
        <v/>
      </c>
      <c r="AK115" s="167">
        <f t="shared" si="22"/>
        <v>349003.2</v>
      </c>
      <c r="AL115" s="167">
        <f t="shared" si="23"/>
        <v>8387.0454720000016</v>
      </c>
      <c r="AM115" s="167" t="str">
        <f t="shared" si="24"/>
        <v/>
      </c>
    </row>
    <row r="116" spans="1:39" x14ac:dyDescent="0.25">
      <c r="A116" s="128" t="s">
        <v>377</v>
      </c>
      <c r="B116" s="128" t="s">
        <v>42</v>
      </c>
      <c r="C116" s="128" t="s">
        <v>378</v>
      </c>
      <c r="D116" s="128"/>
      <c r="E116" s="128">
        <v>1</v>
      </c>
      <c r="F116" s="128"/>
      <c r="G116" s="128">
        <v>0</v>
      </c>
      <c r="H116" s="128">
        <v>0</v>
      </c>
      <c r="I116" s="128">
        <v>0</v>
      </c>
      <c r="J116" s="99" t="s">
        <v>142</v>
      </c>
      <c r="K116" s="42" t="s">
        <v>351</v>
      </c>
      <c r="L116" s="37">
        <v>4.5</v>
      </c>
      <c r="M116" s="37"/>
      <c r="N116" s="42"/>
      <c r="O116" s="42">
        <v>1</v>
      </c>
      <c r="P116" s="42"/>
      <c r="Q116" s="42"/>
      <c r="R116" s="37"/>
      <c r="S116" s="38">
        <v>600</v>
      </c>
      <c r="T116" s="43" t="s">
        <v>46</v>
      </c>
      <c r="U116" s="39">
        <v>628.89599999999996</v>
      </c>
      <c r="V116" s="25">
        <f t="shared" si="25"/>
        <v>28.895999999999958</v>
      </c>
      <c r="W116" s="44">
        <v>0</v>
      </c>
      <c r="X116" s="45">
        <v>0</v>
      </c>
      <c r="Y116" s="124">
        <v>1</v>
      </c>
      <c r="Z116" s="124">
        <v>0</v>
      </c>
      <c r="AA116" s="124"/>
      <c r="AB116" s="124">
        <v>6.49</v>
      </c>
      <c r="AC116" s="130">
        <f t="shared" si="26"/>
        <v>6.49</v>
      </c>
      <c r="AD116" s="45">
        <v>7</v>
      </c>
      <c r="AE116" s="46">
        <v>100</v>
      </c>
      <c r="AF116" s="47">
        <v>100</v>
      </c>
      <c r="AG116" s="167">
        <f t="shared" si="18"/>
        <v>31.255839999999957</v>
      </c>
      <c r="AH116" s="168" t="str">
        <f t="shared" si="19"/>
        <v/>
      </c>
      <c r="AI116" s="168">
        <f t="shared" si="20"/>
        <v>31.255839999999957</v>
      </c>
      <c r="AJ116" s="167" t="str">
        <f t="shared" si="21"/>
        <v/>
      </c>
      <c r="AK116" s="167">
        <f t="shared" si="22"/>
        <v>236236</v>
      </c>
      <c r="AL116" s="167">
        <f t="shared" si="23"/>
        <v>11377.125759999984</v>
      </c>
      <c r="AM116" s="167" t="str">
        <f t="shared" si="24"/>
        <v/>
      </c>
    </row>
    <row r="117" spans="1:39" x14ac:dyDescent="0.25">
      <c r="A117" s="128" t="s">
        <v>379</v>
      </c>
      <c r="B117" s="128" t="s">
        <v>380</v>
      </c>
      <c r="C117" s="128" t="s">
        <v>381</v>
      </c>
      <c r="D117" s="128"/>
      <c r="E117" s="128">
        <v>1</v>
      </c>
      <c r="F117" s="128"/>
      <c r="G117" s="128">
        <v>1</v>
      </c>
      <c r="H117" s="128">
        <v>1</v>
      </c>
      <c r="I117" s="128">
        <v>0</v>
      </c>
      <c r="J117" s="99" t="s">
        <v>142</v>
      </c>
      <c r="K117" s="42" t="s">
        <v>351</v>
      </c>
      <c r="L117" s="37">
        <v>4.5</v>
      </c>
      <c r="M117" s="37">
        <v>21</v>
      </c>
      <c r="N117" s="42"/>
      <c r="O117" s="42"/>
      <c r="P117" s="42"/>
      <c r="Q117" s="42"/>
      <c r="R117" s="37"/>
      <c r="S117" s="38">
        <v>700</v>
      </c>
      <c r="T117" s="43" t="s">
        <v>46</v>
      </c>
      <c r="U117" s="39">
        <v>698.46666670000002</v>
      </c>
      <c r="V117" s="25">
        <f t="shared" si="25"/>
        <v>-1.5333332999999811</v>
      </c>
      <c r="W117" s="44">
        <v>0</v>
      </c>
      <c r="X117" s="45">
        <v>0</v>
      </c>
      <c r="Y117" s="124">
        <v>1</v>
      </c>
      <c r="Z117" s="124">
        <v>0</v>
      </c>
      <c r="AA117" s="124"/>
      <c r="AB117" s="124">
        <v>6.5</v>
      </c>
      <c r="AC117" s="130">
        <f t="shared" si="26"/>
        <v>6.5</v>
      </c>
      <c r="AD117" s="45">
        <v>7</v>
      </c>
      <c r="AE117" s="46">
        <v>48</v>
      </c>
      <c r="AF117" s="47">
        <v>21</v>
      </c>
      <c r="AG117" s="167" t="str">
        <f t="shared" si="18"/>
        <v/>
      </c>
      <c r="AH117" s="168">
        <f t="shared" si="19"/>
        <v>-0.29899999349999634</v>
      </c>
      <c r="AI117" s="168" t="str">
        <f t="shared" si="20"/>
        <v/>
      </c>
      <c r="AJ117" s="167">
        <f t="shared" si="21"/>
        <v>-0.68342855657142021</v>
      </c>
      <c r="AK117" s="167">
        <f t="shared" si="22"/>
        <v>113568</v>
      </c>
      <c r="AL117" s="167" t="str">
        <f t="shared" si="23"/>
        <v/>
      </c>
      <c r="AM117" s="167">
        <f t="shared" si="24"/>
        <v>248.76799459199697</v>
      </c>
    </row>
    <row r="118" spans="1:39" x14ac:dyDescent="0.25">
      <c r="A118" s="128" t="s">
        <v>382</v>
      </c>
      <c r="B118" s="128" t="s">
        <v>42</v>
      </c>
      <c r="C118" s="128" t="s">
        <v>383</v>
      </c>
      <c r="D118" s="128"/>
      <c r="E118" s="128">
        <v>1</v>
      </c>
      <c r="F118" s="128"/>
      <c r="G118" s="128">
        <v>1</v>
      </c>
      <c r="H118" s="128">
        <v>1</v>
      </c>
      <c r="I118" s="128">
        <v>0</v>
      </c>
      <c r="J118" s="99" t="s">
        <v>141</v>
      </c>
      <c r="K118" s="42" t="s">
        <v>351</v>
      </c>
      <c r="L118" s="37">
        <v>4.5</v>
      </c>
      <c r="M118" s="37">
        <v>25</v>
      </c>
      <c r="N118" s="42"/>
      <c r="O118" s="42"/>
      <c r="P118" s="42"/>
      <c r="Q118" s="42"/>
      <c r="R118" s="37"/>
      <c r="S118" s="38">
        <v>700</v>
      </c>
      <c r="T118" s="43" t="s">
        <v>46</v>
      </c>
      <c r="U118" s="39">
        <v>677.39200000000005</v>
      </c>
      <c r="V118" s="25">
        <f t="shared" si="25"/>
        <v>-22.607999999999947</v>
      </c>
      <c r="W118" s="44">
        <v>0</v>
      </c>
      <c r="X118" s="45">
        <v>0</v>
      </c>
      <c r="Y118" s="124">
        <v>1</v>
      </c>
      <c r="Z118" s="124">
        <v>0</v>
      </c>
      <c r="AA118" s="124"/>
      <c r="AB118" s="124">
        <v>7</v>
      </c>
      <c r="AC118" s="130">
        <f t="shared" si="26"/>
        <v>7</v>
      </c>
      <c r="AD118" s="45">
        <v>7</v>
      </c>
      <c r="AE118" s="46">
        <v>50</v>
      </c>
      <c r="AF118" s="47">
        <v>25</v>
      </c>
      <c r="AG118" s="167" t="str">
        <f t="shared" si="18"/>
        <v/>
      </c>
      <c r="AH118" s="168">
        <f t="shared" si="19"/>
        <v>-5.6519999999999868</v>
      </c>
      <c r="AI118" s="168" t="str">
        <f t="shared" si="20"/>
        <v/>
      </c>
      <c r="AJ118" s="167">
        <f t="shared" si="21"/>
        <v>-11.303999999999974</v>
      </c>
      <c r="AK118" s="167">
        <f t="shared" si="22"/>
        <v>127400</v>
      </c>
      <c r="AL118" s="167" t="str">
        <f t="shared" si="23"/>
        <v/>
      </c>
      <c r="AM118" s="167">
        <f t="shared" si="24"/>
        <v>4114.6559999999899</v>
      </c>
    </row>
    <row r="119" spans="1:39" x14ac:dyDescent="0.25">
      <c r="A119" s="128"/>
      <c r="B119" s="128"/>
      <c r="C119" s="128"/>
      <c r="D119" s="128"/>
      <c r="E119" s="128"/>
      <c r="F119" s="128"/>
      <c r="G119" s="128">
        <v>1</v>
      </c>
      <c r="H119" s="128">
        <v>1</v>
      </c>
      <c r="I119" s="128">
        <v>0</v>
      </c>
      <c r="J119" s="99" t="s">
        <v>142</v>
      </c>
      <c r="K119" s="42" t="s">
        <v>351</v>
      </c>
      <c r="L119" s="37">
        <v>4.5</v>
      </c>
      <c r="M119" s="37">
        <v>26</v>
      </c>
      <c r="N119" s="42"/>
      <c r="O119" s="42"/>
      <c r="P119" s="42"/>
      <c r="Q119" s="42"/>
      <c r="R119" s="37"/>
      <c r="S119" s="38">
        <v>700</v>
      </c>
      <c r="T119" s="43" t="s">
        <v>46</v>
      </c>
      <c r="U119" s="39">
        <v>683.43076919999999</v>
      </c>
      <c r="V119" s="25">
        <f t="shared" si="25"/>
        <v>-16.569230800000014</v>
      </c>
      <c r="W119" s="44">
        <v>1</v>
      </c>
      <c r="X119" s="45">
        <v>0</v>
      </c>
      <c r="Y119" s="124">
        <v>1</v>
      </c>
      <c r="Z119" s="124">
        <v>0</v>
      </c>
      <c r="AA119" s="124"/>
      <c r="AB119" s="124">
        <v>7.5</v>
      </c>
      <c r="AC119" s="130">
        <f t="shared" si="26"/>
        <v>7.5</v>
      </c>
      <c r="AD119" s="45">
        <v>7</v>
      </c>
      <c r="AE119" s="46">
        <v>50</v>
      </c>
      <c r="AF119" s="47">
        <v>26</v>
      </c>
      <c r="AG119" s="167" t="str">
        <f t="shared" si="18"/>
        <v/>
      </c>
      <c r="AH119" s="168">
        <f t="shared" si="19"/>
        <v>-4.6157142942857181</v>
      </c>
      <c r="AI119" s="168" t="str">
        <f t="shared" si="20"/>
        <v/>
      </c>
      <c r="AJ119" s="167">
        <f t="shared" si="21"/>
        <v>-8.8763736428571516</v>
      </c>
      <c r="AK119" s="167">
        <f t="shared" si="22"/>
        <v>136500</v>
      </c>
      <c r="AL119" s="167" t="str">
        <f t="shared" si="23"/>
        <v/>
      </c>
      <c r="AM119" s="167">
        <f t="shared" si="24"/>
        <v>3231.0000060000029</v>
      </c>
    </row>
    <row r="120" spans="1:39" hidden="1" x14ac:dyDescent="0.25">
      <c r="A120" s="128" t="s">
        <v>384</v>
      </c>
      <c r="B120" s="128" t="s">
        <v>201</v>
      </c>
      <c r="C120" s="128" t="s">
        <v>385</v>
      </c>
      <c r="D120" s="128"/>
      <c r="E120" s="128">
        <v>1</v>
      </c>
      <c r="F120" s="128"/>
      <c r="G120" s="128">
        <v>1</v>
      </c>
      <c r="H120" s="128">
        <v>1</v>
      </c>
      <c r="I120" s="128">
        <v>0</v>
      </c>
      <c r="J120" s="99" t="s">
        <v>162</v>
      </c>
      <c r="K120" s="42" t="s">
        <v>386</v>
      </c>
      <c r="L120" s="37">
        <v>4.5</v>
      </c>
      <c r="M120" s="37"/>
      <c r="N120" s="42"/>
      <c r="O120" s="42"/>
      <c r="P120" s="42">
        <v>1</v>
      </c>
      <c r="Q120" s="42"/>
      <c r="R120" s="37"/>
      <c r="S120" s="38">
        <v>2500</v>
      </c>
      <c r="T120" s="43" t="s">
        <v>46</v>
      </c>
      <c r="U120" s="39">
        <v>2502.7125000000001</v>
      </c>
      <c r="V120" s="129">
        <f t="shared" ref="V120:V135" si="27">-S120+U120</f>
        <v>2.7125000000000909</v>
      </c>
      <c r="W120" s="44">
        <v>0</v>
      </c>
      <c r="X120" s="45">
        <v>1</v>
      </c>
      <c r="Y120" s="124">
        <v>1</v>
      </c>
      <c r="Z120" s="124">
        <v>0</v>
      </c>
      <c r="AA120" s="124"/>
      <c r="AB120" s="124">
        <v>10.8</v>
      </c>
      <c r="AC120" s="130">
        <f t="shared" si="26"/>
        <v>10.8</v>
      </c>
      <c r="AD120" s="45">
        <v>6</v>
      </c>
      <c r="AE120" s="46">
        <v>1600</v>
      </c>
      <c r="AF120" s="47">
        <v>2760</v>
      </c>
      <c r="AG120" s="167">
        <f t="shared" si="18"/>
        <v>32.341680000001084</v>
      </c>
      <c r="AH120" s="168" t="str">
        <f t="shared" si="19"/>
        <v/>
      </c>
      <c r="AI120" s="168">
        <f t="shared" si="20"/>
        <v>18.748800000000628</v>
      </c>
      <c r="AJ120" s="167" t="str">
        <f t="shared" si="21"/>
        <v/>
      </c>
      <c r="AK120" s="167">
        <f t="shared" si="22"/>
        <v>5391360</v>
      </c>
      <c r="AL120" s="167">
        <f t="shared" si="23"/>
        <v>5849.6256000001958</v>
      </c>
      <c r="AM120" s="167" t="str">
        <f t="shared" si="24"/>
        <v/>
      </c>
    </row>
    <row r="121" spans="1:39" hidden="1" x14ac:dyDescent="0.25">
      <c r="A121" s="128"/>
      <c r="B121" s="128"/>
      <c r="C121" s="128"/>
      <c r="D121" s="128"/>
      <c r="E121" s="128"/>
      <c r="F121" s="128"/>
      <c r="G121" s="128">
        <v>0</v>
      </c>
      <c r="H121" s="128">
        <v>0</v>
      </c>
      <c r="I121" s="128">
        <v>0</v>
      </c>
      <c r="J121" s="99" t="s">
        <v>193</v>
      </c>
      <c r="K121" s="42" t="s">
        <v>387</v>
      </c>
      <c r="L121" s="37">
        <v>4.5</v>
      </c>
      <c r="M121" s="37"/>
      <c r="N121" s="42"/>
      <c r="O121" s="42"/>
      <c r="P121" s="42">
        <v>1</v>
      </c>
      <c r="Q121" s="42"/>
      <c r="R121" s="37"/>
      <c r="S121" s="38">
        <v>5000</v>
      </c>
      <c r="T121" s="43" t="s">
        <v>46</v>
      </c>
      <c r="U121" s="39">
        <v>5031.6225000000004</v>
      </c>
      <c r="V121" s="129">
        <f t="shared" si="27"/>
        <v>31.6225000000004</v>
      </c>
      <c r="W121" s="44">
        <v>0</v>
      </c>
      <c r="X121" s="45">
        <v>0</v>
      </c>
      <c r="Y121" s="124">
        <v>1</v>
      </c>
      <c r="Z121" s="124">
        <v>0</v>
      </c>
      <c r="AA121" s="124"/>
      <c r="AB121" s="124">
        <v>21.11</v>
      </c>
      <c r="AC121" s="130">
        <f t="shared" si="26"/>
        <v>21.11</v>
      </c>
      <c r="AD121" s="45">
        <v>6</v>
      </c>
      <c r="AE121" s="46">
        <v>400</v>
      </c>
      <c r="AF121" s="47">
        <v>1728</v>
      </c>
      <c r="AG121" s="167">
        <f t="shared" si="18"/>
        <v>230.70561696000291</v>
      </c>
      <c r="AH121" s="168" t="str">
        <f t="shared" si="19"/>
        <v/>
      </c>
      <c r="AI121" s="168">
        <f t="shared" si="20"/>
        <v>53.404078000000673</v>
      </c>
      <c r="AJ121" s="167" t="str">
        <f t="shared" si="21"/>
        <v/>
      </c>
      <c r="AK121" s="167">
        <f t="shared" si="22"/>
        <v>2634528</v>
      </c>
      <c r="AL121" s="167">
        <f t="shared" si="23"/>
        <v>16662.072336000208</v>
      </c>
      <c r="AM121" s="167" t="str">
        <f t="shared" si="24"/>
        <v/>
      </c>
    </row>
    <row r="122" spans="1:39" hidden="1" x14ac:dyDescent="0.25">
      <c r="A122" s="128"/>
      <c r="B122" s="128"/>
      <c r="C122" s="128"/>
      <c r="D122" s="128"/>
      <c r="E122" s="128"/>
      <c r="F122" s="128"/>
      <c r="G122" s="128">
        <v>1</v>
      </c>
      <c r="H122" s="128">
        <v>1</v>
      </c>
      <c r="I122" s="128">
        <v>0</v>
      </c>
      <c r="J122" s="99" t="s">
        <v>193</v>
      </c>
      <c r="K122" s="42" t="s">
        <v>388</v>
      </c>
      <c r="L122" s="37">
        <v>4.5</v>
      </c>
      <c r="M122" s="37"/>
      <c r="N122" s="42"/>
      <c r="O122" s="42">
        <v>1</v>
      </c>
      <c r="P122" s="42"/>
      <c r="Q122" s="42"/>
      <c r="R122" s="37"/>
      <c r="S122" s="38">
        <v>10000</v>
      </c>
      <c r="T122" s="43" t="s">
        <v>46</v>
      </c>
      <c r="U122" s="39">
        <v>10029.09773</v>
      </c>
      <c r="V122" s="129">
        <f t="shared" si="27"/>
        <v>29.097729999999501</v>
      </c>
      <c r="W122" s="44">
        <v>8</v>
      </c>
      <c r="X122" s="45">
        <v>1</v>
      </c>
      <c r="Y122" s="124">
        <v>1</v>
      </c>
      <c r="Z122" s="124">
        <v>0</v>
      </c>
      <c r="AA122" s="124"/>
      <c r="AB122" s="124">
        <v>39.81</v>
      </c>
      <c r="AC122" s="130">
        <f t="shared" si="26"/>
        <v>39.81</v>
      </c>
      <c r="AD122" s="45">
        <v>6</v>
      </c>
      <c r="AE122" s="46">
        <v>600</v>
      </c>
      <c r="AF122" s="47">
        <v>445</v>
      </c>
      <c r="AG122" s="167">
        <f t="shared" si="18"/>
        <v>51.547938092849115</v>
      </c>
      <c r="AH122" s="168" t="str">
        <f t="shared" si="19"/>
        <v/>
      </c>
      <c r="AI122" s="168">
        <f t="shared" si="20"/>
        <v>69.502837877998815</v>
      </c>
      <c r="AJ122" s="167" t="str">
        <f t="shared" si="21"/>
        <v/>
      </c>
      <c r="AK122" s="167">
        <f t="shared" si="22"/>
        <v>7452432</v>
      </c>
      <c r="AL122" s="167">
        <f t="shared" si="23"/>
        <v>21684.885417935631</v>
      </c>
      <c r="AM122" s="167" t="str">
        <f t="shared" si="24"/>
        <v/>
      </c>
    </row>
    <row r="123" spans="1:39" ht="24.75" hidden="1" x14ac:dyDescent="0.25">
      <c r="A123" s="128" t="s">
        <v>389</v>
      </c>
      <c r="B123" s="128" t="s">
        <v>201</v>
      </c>
      <c r="C123" s="128" t="s">
        <v>390</v>
      </c>
      <c r="D123" s="128"/>
      <c r="E123" s="128">
        <v>1</v>
      </c>
      <c r="F123" s="128"/>
      <c r="G123" s="128">
        <v>0</v>
      </c>
      <c r="H123" s="128">
        <v>0</v>
      </c>
      <c r="I123" s="128">
        <v>0</v>
      </c>
      <c r="J123" s="99" t="s">
        <v>162</v>
      </c>
      <c r="K123" s="42" t="s">
        <v>391</v>
      </c>
      <c r="L123" s="37">
        <v>4.5</v>
      </c>
      <c r="M123" s="37">
        <v>37</v>
      </c>
      <c r="N123" s="42"/>
      <c r="O123" s="42"/>
      <c r="P123" s="42"/>
      <c r="Q123" s="42"/>
      <c r="R123" s="37"/>
      <c r="S123" s="38">
        <v>2500</v>
      </c>
      <c r="T123" s="43" t="s">
        <v>46</v>
      </c>
      <c r="U123" s="39">
        <v>2698.9243240000001</v>
      </c>
      <c r="V123" s="129">
        <f t="shared" si="27"/>
        <v>198.92432400000007</v>
      </c>
      <c r="W123" s="44">
        <v>0</v>
      </c>
      <c r="X123" s="45">
        <v>0</v>
      </c>
      <c r="Y123" s="124">
        <v>1</v>
      </c>
      <c r="Z123" s="124">
        <v>0</v>
      </c>
      <c r="AA123" s="124"/>
      <c r="AB123" s="124">
        <v>8.8000000000000007</v>
      </c>
      <c r="AC123" s="130">
        <f t="shared" si="26"/>
        <v>8.8000000000000007</v>
      </c>
      <c r="AD123" s="45">
        <v>6</v>
      </c>
      <c r="AE123" s="46">
        <v>30</v>
      </c>
      <c r="AF123" s="47">
        <v>37</v>
      </c>
      <c r="AG123" s="167">
        <f t="shared" si="18"/>
        <v>25.907903957760009</v>
      </c>
      <c r="AH123" s="168" t="str">
        <f t="shared" si="19"/>
        <v/>
      </c>
      <c r="AI123" s="168">
        <f t="shared" si="20"/>
        <v>21.006408614400009</v>
      </c>
      <c r="AJ123" s="167" t="str">
        <f t="shared" si="21"/>
        <v/>
      </c>
      <c r="AK123" s="167">
        <f t="shared" si="22"/>
        <v>82368</v>
      </c>
      <c r="AL123" s="167">
        <f t="shared" si="23"/>
        <v>6553.9994876928031</v>
      </c>
      <c r="AM123" s="167" t="str">
        <f t="shared" si="24"/>
        <v/>
      </c>
    </row>
    <row r="124" spans="1:39" hidden="1" x14ac:dyDescent="0.25">
      <c r="A124" s="128"/>
      <c r="B124" s="128"/>
      <c r="C124" s="128"/>
      <c r="D124" s="128"/>
      <c r="E124" s="128"/>
      <c r="F124" s="128"/>
      <c r="G124" s="128">
        <v>0</v>
      </c>
      <c r="H124" s="128">
        <v>0</v>
      </c>
      <c r="I124" s="128">
        <v>0</v>
      </c>
      <c r="J124" s="99" t="s">
        <v>193</v>
      </c>
      <c r="K124" s="42" t="s">
        <v>392</v>
      </c>
      <c r="L124" s="37">
        <v>4.5</v>
      </c>
      <c r="M124" s="37">
        <v>35</v>
      </c>
      <c r="N124" s="42"/>
      <c r="O124" s="42"/>
      <c r="P124" s="42"/>
      <c r="Q124" s="42"/>
      <c r="R124" s="37"/>
      <c r="S124" s="38">
        <v>5000</v>
      </c>
      <c r="T124" s="43" t="s">
        <v>46</v>
      </c>
      <c r="U124" s="39">
        <v>5426.0985710000004</v>
      </c>
      <c r="V124" s="129">
        <f t="shared" si="27"/>
        <v>426.09857100000045</v>
      </c>
      <c r="W124" s="44">
        <v>0</v>
      </c>
      <c r="X124" s="45">
        <v>0</v>
      </c>
      <c r="Y124" s="124">
        <v>1</v>
      </c>
      <c r="Z124" s="124">
        <v>0</v>
      </c>
      <c r="AA124" s="124"/>
      <c r="AB124" s="124">
        <v>17.600000000000001</v>
      </c>
      <c r="AC124" s="130">
        <f t="shared" si="26"/>
        <v>17.600000000000001</v>
      </c>
      <c r="AD124" s="45">
        <v>6</v>
      </c>
      <c r="AE124" s="46">
        <v>10</v>
      </c>
      <c r="AF124" s="47">
        <v>35</v>
      </c>
      <c r="AG124" s="167">
        <f t="shared" si="18"/>
        <v>52.495343947200055</v>
      </c>
      <c r="AH124" s="168" t="str">
        <f t="shared" si="19"/>
        <v/>
      </c>
      <c r="AI124" s="168">
        <f t="shared" si="20"/>
        <v>14.998669699200015</v>
      </c>
      <c r="AJ124" s="167" t="str">
        <f t="shared" si="21"/>
        <v/>
      </c>
      <c r="AK124" s="167">
        <f t="shared" si="22"/>
        <v>54912</v>
      </c>
      <c r="AL124" s="167">
        <f t="shared" si="23"/>
        <v>4679.5849461504049</v>
      </c>
      <c r="AM124" s="167" t="str">
        <f t="shared" si="24"/>
        <v/>
      </c>
    </row>
    <row r="125" spans="1:39" hidden="1" x14ac:dyDescent="0.25">
      <c r="A125" s="128"/>
      <c r="B125" s="128"/>
      <c r="C125" s="128"/>
      <c r="D125" s="128"/>
      <c r="E125" s="128"/>
      <c r="F125" s="128"/>
      <c r="G125" s="128">
        <v>0</v>
      </c>
      <c r="H125" s="128">
        <v>0</v>
      </c>
      <c r="I125" s="128">
        <v>0</v>
      </c>
      <c r="J125" s="99" t="s">
        <v>193</v>
      </c>
      <c r="K125" s="42" t="s">
        <v>393</v>
      </c>
      <c r="L125" s="37">
        <v>4.5</v>
      </c>
      <c r="M125" s="37">
        <v>10</v>
      </c>
      <c r="N125" s="42"/>
      <c r="O125" s="42"/>
      <c r="P125" s="42"/>
      <c r="Q125" s="42"/>
      <c r="R125" s="37"/>
      <c r="S125" s="38">
        <v>10000</v>
      </c>
      <c r="T125" s="43" t="s">
        <v>46</v>
      </c>
      <c r="U125" s="39">
        <v>10723.46</v>
      </c>
      <c r="V125" s="129">
        <f t="shared" si="27"/>
        <v>723.45999999999913</v>
      </c>
      <c r="W125" s="44">
        <v>0</v>
      </c>
      <c r="X125" s="45">
        <v>0</v>
      </c>
      <c r="Y125" s="124">
        <v>1</v>
      </c>
      <c r="Z125" s="124">
        <v>0</v>
      </c>
      <c r="AA125" s="124"/>
      <c r="AB125" s="124">
        <v>32.5</v>
      </c>
      <c r="AC125" s="130">
        <f t="shared" si="26"/>
        <v>32.5</v>
      </c>
      <c r="AD125" s="45">
        <v>6</v>
      </c>
      <c r="AE125" s="46">
        <v>20</v>
      </c>
      <c r="AF125" s="47">
        <v>10</v>
      </c>
      <c r="AG125" s="167">
        <f t="shared" si="18"/>
        <v>23.512449999999969</v>
      </c>
      <c r="AH125" s="168" t="str">
        <f t="shared" si="19"/>
        <v/>
      </c>
      <c r="AI125" s="168">
        <f t="shared" si="20"/>
        <v>47.024899999999938</v>
      </c>
      <c r="AJ125" s="167" t="str">
        <f t="shared" si="21"/>
        <v/>
      </c>
      <c r="AK125" s="167">
        <f t="shared" si="22"/>
        <v>202800</v>
      </c>
      <c r="AL125" s="167">
        <f t="shared" si="23"/>
        <v>14671.76879999998</v>
      </c>
      <c r="AM125" s="167" t="str">
        <f t="shared" si="24"/>
        <v/>
      </c>
    </row>
    <row r="126" spans="1:39" hidden="1" x14ac:dyDescent="0.25">
      <c r="A126" s="128"/>
      <c r="B126" s="128"/>
      <c r="C126" s="128"/>
      <c r="D126" s="128"/>
      <c r="E126" s="128"/>
      <c r="F126" s="128"/>
      <c r="G126" s="128">
        <v>0</v>
      </c>
      <c r="H126" s="128">
        <v>0</v>
      </c>
      <c r="I126" s="128">
        <v>0</v>
      </c>
      <c r="J126" s="99" t="s">
        <v>162</v>
      </c>
      <c r="K126" s="42" t="s">
        <v>394</v>
      </c>
      <c r="L126" s="37">
        <v>4.5</v>
      </c>
      <c r="M126" s="37"/>
      <c r="N126" s="42"/>
      <c r="O126" s="42">
        <v>1</v>
      </c>
      <c r="P126" s="42"/>
      <c r="Q126" s="42"/>
      <c r="R126" s="37"/>
      <c r="S126" s="38">
        <v>12500</v>
      </c>
      <c r="T126" s="43" t="s">
        <v>46</v>
      </c>
      <c r="U126" s="39">
        <v>13413.8</v>
      </c>
      <c r="V126" s="129">
        <f t="shared" si="27"/>
        <v>913.79999999999927</v>
      </c>
      <c r="W126" s="44">
        <v>0</v>
      </c>
      <c r="X126" s="45">
        <v>0</v>
      </c>
      <c r="Y126" s="124">
        <v>1</v>
      </c>
      <c r="Z126" s="124">
        <v>0</v>
      </c>
      <c r="AA126" s="124"/>
      <c r="AB126" s="124">
        <v>40.200000000000003</v>
      </c>
      <c r="AC126" s="130">
        <f t="shared" si="26"/>
        <v>40.200000000000003</v>
      </c>
      <c r="AD126" s="45">
        <v>6</v>
      </c>
      <c r="AE126" s="46">
        <v>40</v>
      </c>
      <c r="AF126" s="47">
        <v>100</v>
      </c>
      <c r="AG126" s="167">
        <f t="shared" si="18"/>
        <v>293.87807999999978</v>
      </c>
      <c r="AH126" s="168" t="str">
        <f t="shared" si="19"/>
        <v/>
      </c>
      <c r="AI126" s="168">
        <f t="shared" si="20"/>
        <v>117.55123199999991</v>
      </c>
      <c r="AJ126" s="167" t="str">
        <f t="shared" si="21"/>
        <v/>
      </c>
      <c r="AK126" s="167">
        <f t="shared" si="22"/>
        <v>501696</v>
      </c>
      <c r="AL126" s="167">
        <f t="shared" si="23"/>
        <v>36675.984383999974</v>
      </c>
      <c r="AM126" s="167" t="str">
        <f t="shared" si="24"/>
        <v/>
      </c>
    </row>
    <row r="127" spans="1:39" x14ac:dyDescent="0.25">
      <c r="A127" s="124" t="s">
        <v>395</v>
      </c>
      <c r="B127" s="124" t="s">
        <v>203</v>
      </c>
      <c r="C127" s="124" t="s">
        <v>396</v>
      </c>
      <c r="D127" s="124"/>
      <c r="E127" s="124">
        <v>1</v>
      </c>
      <c r="F127" s="124"/>
      <c r="G127" s="124"/>
      <c r="H127" s="124">
        <v>1</v>
      </c>
      <c r="I127" s="124"/>
      <c r="J127" s="99" t="s">
        <v>141</v>
      </c>
      <c r="K127" s="37" t="s">
        <v>397</v>
      </c>
      <c r="L127" s="37"/>
      <c r="M127" s="37">
        <v>36</v>
      </c>
      <c r="N127" s="37"/>
      <c r="O127" s="37"/>
      <c r="P127" s="37"/>
      <c r="Q127" s="37"/>
      <c r="R127" s="37"/>
      <c r="S127" s="38">
        <v>600</v>
      </c>
      <c r="T127" s="38" t="s">
        <v>46</v>
      </c>
      <c r="U127" s="39">
        <v>589.5</v>
      </c>
      <c r="V127" s="25">
        <f t="shared" si="27"/>
        <v>-10.5</v>
      </c>
      <c r="W127" s="79">
        <v>0</v>
      </c>
      <c r="X127" s="40"/>
      <c r="Y127" s="124">
        <v>1</v>
      </c>
      <c r="Z127" s="124">
        <v>0</v>
      </c>
      <c r="AA127" s="124"/>
      <c r="AB127" s="124">
        <v>6.3</v>
      </c>
      <c r="AC127" s="130">
        <f>IF(AA127&gt;0,AA127/1000*S127/R127,AB127)</f>
        <v>6.3</v>
      </c>
      <c r="AD127" s="40">
        <v>6</v>
      </c>
      <c r="AE127" s="41">
        <v>4000</v>
      </c>
      <c r="AF127" s="80">
        <v>36</v>
      </c>
      <c r="AG127" s="167" t="str">
        <f t="shared" si="18"/>
        <v/>
      </c>
      <c r="AH127" s="168">
        <f t="shared" si="19"/>
        <v>-3.9689999999999994</v>
      </c>
      <c r="AI127" s="168" t="str">
        <f t="shared" si="20"/>
        <v/>
      </c>
      <c r="AJ127" s="167">
        <f t="shared" si="21"/>
        <v>-440.99999999999994</v>
      </c>
      <c r="AK127" s="167">
        <f t="shared" si="22"/>
        <v>7862400</v>
      </c>
      <c r="AL127" s="167" t="str">
        <f t="shared" si="23"/>
        <v/>
      </c>
      <c r="AM127" s="167">
        <f t="shared" si="24"/>
        <v>137591.99999999997</v>
      </c>
    </row>
    <row r="128" spans="1:39" x14ac:dyDescent="0.25">
      <c r="A128" s="128"/>
      <c r="B128" s="128"/>
      <c r="C128" s="128"/>
      <c r="D128" s="128"/>
      <c r="E128" s="128">
        <v>1</v>
      </c>
      <c r="F128" s="128"/>
      <c r="G128" s="128"/>
      <c r="H128" s="124"/>
      <c r="I128" s="124"/>
      <c r="J128" s="99" t="s">
        <v>142</v>
      </c>
      <c r="K128" s="37" t="s">
        <v>48</v>
      </c>
      <c r="L128" s="37"/>
      <c r="M128" s="37"/>
      <c r="N128" s="42"/>
      <c r="O128" s="42">
        <v>1</v>
      </c>
      <c r="P128" s="42"/>
      <c r="Q128" s="42"/>
      <c r="R128" s="37"/>
      <c r="S128" s="38">
        <v>600</v>
      </c>
      <c r="T128" s="43" t="s">
        <v>46</v>
      </c>
      <c r="U128" s="39">
        <v>603.55999999999995</v>
      </c>
      <c r="V128" s="25">
        <f t="shared" si="27"/>
        <v>3.5599999999999454</v>
      </c>
      <c r="W128" s="44">
        <v>0</v>
      </c>
      <c r="X128" s="45"/>
      <c r="Y128" s="124">
        <v>1</v>
      </c>
      <c r="Z128" s="124">
        <v>0</v>
      </c>
      <c r="AA128" s="124"/>
      <c r="AB128" s="124">
        <v>6.8</v>
      </c>
      <c r="AC128" s="130">
        <f t="shared" ref="AC128:AC145" si="28">IF(AA128&gt;0,AA128/1000*S128/R128,AB128)</f>
        <v>6.8</v>
      </c>
      <c r="AD128" s="45">
        <v>6</v>
      </c>
      <c r="AE128" s="46">
        <v>3500</v>
      </c>
      <c r="AF128" s="47">
        <v>550</v>
      </c>
      <c r="AG128" s="167">
        <f t="shared" si="18"/>
        <v>22.190666666666324</v>
      </c>
      <c r="AH128" s="168" t="str">
        <f t="shared" si="19"/>
        <v/>
      </c>
      <c r="AI128" s="168">
        <f t="shared" si="20"/>
        <v>141.21333333333115</v>
      </c>
      <c r="AJ128" s="167" t="str">
        <f t="shared" si="21"/>
        <v/>
      </c>
      <c r="AK128" s="167">
        <f t="shared" si="22"/>
        <v>7425600</v>
      </c>
      <c r="AL128" s="167">
        <f t="shared" si="23"/>
        <v>44058.559999999321</v>
      </c>
      <c r="AM128" s="167" t="str">
        <f t="shared" si="24"/>
        <v/>
      </c>
    </row>
    <row r="129" spans="1:39" ht="24.75" hidden="1" x14ac:dyDescent="0.25">
      <c r="A129" s="128" t="s">
        <v>398</v>
      </c>
      <c r="B129" s="128" t="s">
        <v>399</v>
      </c>
      <c r="C129" s="128" t="s">
        <v>400</v>
      </c>
      <c r="D129" s="128">
        <v>1</v>
      </c>
      <c r="E129" s="128"/>
      <c r="F129" s="128"/>
      <c r="G129" s="128"/>
      <c r="H129" s="128">
        <v>1</v>
      </c>
      <c r="I129" s="128"/>
      <c r="J129" s="99" t="s">
        <v>160</v>
      </c>
      <c r="K129" s="42" t="s">
        <v>401</v>
      </c>
      <c r="L129" s="37"/>
      <c r="M129" s="37">
        <v>13</v>
      </c>
      <c r="N129" s="42"/>
      <c r="O129" s="42"/>
      <c r="P129" s="42"/>
      <c r="Q129" s="42"/>
      <c r="R129" s="37"/>
      <c r="S129" s="38">
        <v>500</v>
      </c>
      <c r="T129" s="43" t="s">
        <v>202</v>
      </c>
      <c r="U129" s="39">
        <v>499.33</v>
      </c>
      <c r="V129" s="125">
        <f t="shared" si="27"/>
        <v>-0.67000000000001592</v>
      </c>
      <c r="W129" s="44"/>
      <c r="X129" s="45"/>
      <c r="Y129" s="124">
        <v>1</v>
      </c>
      <c r="Z129" s="124">
        <v>0</v>
      </c>
      <c r="AA129" s="124"/>
      <c r="AB129" s="124">
        <v>9</v>
      </c>
      <c r="AC129" s="130">
        <f t="shared" si="28"/>
        <v>9</v>
      </c>
      <c r="AD129" s="45">
        <v>6</v>
      </c>
      <c r="AE129" s="46">
        <v>80</v>
      </c>
      <c r="AF129" s="47">
        <v>13</v>
      </c>
      <c r="AG129" s="167" t="str">
        <f t="shared" si="18"/>
        <v/>
      </c>
      <c r="AH129" s="168">
        <f t="shared" si="19"/>
        <v>-0.15678000000000372</v>
      </c>
      <c r="AI129" s="168" t="str">
        <f t="shared" si="20"/>
        <v/>
      </c>
      <c r="AJ129" s="167">
        <f t="shared" si="21"/>
        <v>-0.96480000000002286</v>
      </c>
      <c r="AK129" s="167">
        <f t="shared" si="22"/>
        <v>224640</v>
      </c>
      <c r="AL129" s="167" t="str">
        <f t="shared" si="23"/>
        <v/>
      </c>
      <c r="AM129" s="167">
        <f t="shared" si="24"/>
        <v>301.01760000000712</v>
      </c>
    </row>
    <row r="130" spans="1:39" ht="24.75" hidden="1" x14ac:dyDescent="0.25">
      <c r="A130" s="128" t="s">
        <v>402</v>
      </c>
      <c r="B130" s="128" t="s">
        <v>403</v>
      </c>
      <c r="C130" s="128" t="s">
        <v>404</v>
      </c>
      <c r="D130" s="128"/>
      <c r="E130" s="128">
        <v>1</v>
      </c>
      <c r="F130" s="128"/>
      <c r="G130" s="128"/>
      <c r="H130" s="128">
        <v>1</v>
      </c>
      <c r="I130" s="128"/>
      <c r="J130" s="99" t="s">
        <v>160</v>
      </c>
      <c r="K130" s="42" t="s">
        <v>405</v>
      </c>
      <c r="L130" s="37"/>
      <c r="M130" s="37"/>
      <c r="N130" s="42">
        <v>1</v>
      </c>
      <c r="O130" s="42"/>
      <c r="P130" s="42"/>
      <c r="Q130" s="42"/>
      <c r="R130" s="37"/>
      <c r="S130" s="38">
        <v>500</v>
      </c>
      <c r="T130" s="43" t="s">
        <v>202</v>
      </c>
      <c r="U130" s="39">
        <v>476.94</v>
      </c>
      <c r="V130" s="125">
        <f t="shared" si="27"/>
        <v>-23.060000000000002</v>
      </c>
      <c r="W130" s="44"/>
      <c r="X130" s="45"/>
      <c r="Y130" s="124">
        <v>1</v>
      </c>
      <c r="Z130" s="124">
        <v>0</v>
      </c>
      <c r="AA130" s="124"/>
      <c r="AB130" s="124">
        <v>6.6</v>
      </c>
      <c r="AC130" s="130">
        <f t="shared" si="28"/>
        <v>6.6</v>
      </c>
      <c r="AD130" s="45">
        <v>6</v>
      </c>
      <c r="AE130" s="46">
        <v>120</v>
      </c>
      <c r="AF130" s="47">
        <v>70</v>
      </c>
      <c r="AG130" s="167" t="str">
        <f t="shared" si="18"/>
        <v/>
      </c>
      <c r="AH130" s="168">
        <f t="shared" si="19"/>
        <v>-21.307440000000003</v>
      </c>
      <c r="AI130" s="168" t="str">
        <f t="shared" si="20"/>
        <v/>
      </c>
      <c r="AJ130" s="167">
        <f t="shared" si="21"/>
        <v>-36.527040000000007</v>
      </c>
      <c r="AK130" s="167">
        <f t="shared" si="22"/>
        <v>247104</v>
      </c>
      <c r="AL130" s="167" t="str">
        <f t="shared" si="23"/>
        <v/>
      </c>
      <c r="AM130" s="167">
        <f t="shared" si="24"/>
        <v>11396.436480000002</v>
      </c>
    </row>
    <row r="131" spans="1:39" hidden="1" x14ac:dyDescent="0.25">
      <c r="A131" s="128"/>
      <c r="B131" s="128"/>
      <c r="C131" s="128"/>
      <c r="D131" s="128"/>
      <c r="E131" s="128">
        <v>1</v>
      </c>
      <c r="F131" s="128"/>
      <c r="G131" s="128"/>
      <c r="H131" s="128"/>
      <c r="I131" s="128"/>
      <c r="J131" s="99" t="s">
        <v>160</v>
      </c>
      <c r="K131" s="42" t="s">
        <v>406</v>
      </c>
      <c r="L131" s="37"/>
      <c r="M131" s="37"/>
      <c r="N131" s="42">
        <v>1</v>
      </c>
      <c r="O131" s="42"/>
      <c r="P131" s="42"/>
      <c r="Q131" s="42"/>
      <c r="R131" s="37"/>
      <c r="S131" s="38">
        <v>250</v>
      </c>
      <c r="T131" s="43" t="s">
        <v>202</v>
      </c>
      <c r="U131" s="39">
        <v>223.37</v>
      </c>
      <c r="V131" s="125">
        <f t="shared" si="27"/>
        <v>-26.629999999999995</v>
      </c>
      <c r="W131" s="44"/>
      <c r="X131" s="45"/>
      <c r="Y131" s="124">
        <v>1</v>
      </c>
      <c r="Z131" s="124">
        <v>0</v>
      </c>
      <c r="AA131" s="124"/>
      <c r="AB131" s="124">
        <v>3.5</v>
      </c>
      <c r="AC131" s="130">
        <f t="shared" si="28"/>
        <v>3.5</v>
      </c>
      <c r="AD131" s="45">
        <v>6</v>
      </c>
      <c r="AE131" s="46">
        <v>120</v>
      </c>
      <c r="AF131" s="47">
        <v>60</v>
      </c>
      <c r="AG131" s="167" t="str">
        <f t="shared" si="18"/>
        <v/>
      </c>
      <c r="AH131" s="168">
        <f t="shared" si="19"/>
        <v>-22.369199999999996</v>
      </c>
      <c r="AI131" s="168" t="str">
        <f t="shared" si="20"/>
        <v/>
      </c>
      <c r="AJ131" s="167">
        <f t="shared" si="21"/>
        <v>-44.738399999999992</v>
      </c>
      <c r="AK131" s="167">
        <f t="shared" si="22"/>
        <v>131040</v>
      </c>
      <c r="AL131" s="167" t="str">
        <f t="shared" si="23"/>
        <v/>
      </c>
      <c r="AM131" s="167">
        <f t="shared" si="24"/>
        <v>13958.380799999999</v>
      </c>
    </row>
    <row r="132" spans="1:39" ht="24.75" hidden="1" x14ac:dyDescent="0.25">
      <c r="A132" s="128" t="s">
        <v>407</v>
      </c>
      <c r="B132" s="128" t="s">
        <v>408</v>
      </c>
      <c r="C132" s="128" t="s">
        <v>409</v>
      </c>
      <c r="D132" s="128"/>
      <c r="E132" s="128">
        <v>1</v>
      </c>
      <c r="F132" s="128"/>
      <c r="G132" s="128"/>
      <c r="H132" s="128"/>
      <c r="I132" s="128">
        <v>1</v>
      </c>
      <c r="J132" s="99" t="s">
        <v>162</v>
      </c>
      <c r="K132" s="42" t="s">
        <v>410</v>
      </c>
      <c r="L132" s="37"/>
      <c r="M132" s="37"/>
      <c r="N132" s="42"/>
      <c r="O132" s="42"/>
      <c r="P132" s="42">
        <v>1</v>
      </c>
      <c r="Q132" s="42"/>
      <c r="R132" s="37"/>
      <c r="S132" s="38">
        <v>12500</v>
      </c>
      <c r="T132" s="43" t="s">
        <v>46</v>
      </c>
      <c r="U132" s="39">
        <v>12514.95</v>
      </c>
      <c r="V132" s="125">
        <f t="shared" si="27"/>
        <v>14.950000000000728</v>
      </c>
      <c r="W132" s="44">
        <v>15</v>
      </c>
      <c r="X132" s="45">
        <v>7</v>
      </c>
      <c r="Y132" s="124">
        <v>1</v>
      </c>
      <c r="Z132" s="124">
        <v>0</v>
      </c>
      <c r="AA132" s="124"/>
      <c r="AB132" s="124">
        <v>45</v>
      </c>
      <c r="AC132" s="130">
        <f t="shared" si="28"/>
        <v>45</v>
      </c>
      <c r="AD132" s="45">
        <v>6</v>
      </c>
      <c r="AE132" s="46">
        <v>5000</v>
      </c>
      <c r="AF132" s="47">
        <v>900</v>
      </c>
      <c r="AG132" s="167">
        <f t="shared" si="18"/>
        <v>48.438000000002354</v>
      </c>
      <c r="AH132" s="168" t="str">
        <f t="shared" si="19"/>
        <v/>
      </c>
      <c r="AI132" s="168">
        <f t="shared" si="20"/>
        <v>269.1000000000131</v>
      </c>
      <c r="AJ132" s="167" t="str">
        <f t="shared" si="21"/>
        <v/>
      </c>
      <c r="AK132" s="167">
        <f t="shared" si="22"/>
        <v>70200000</v>
      </c>
      <c r="AL132" s="167">
        <f t="shared" si="23"/>
        <v>83959.200000004086</v>
      </c>
      <c r="AM132" s="167" t="str">
        <f t="shared" si="24"/>
        <v/>
      </c>
    </row>
    <row r="133" spans="1:39" ht="24.75" hidden="1" x14ac:dyDescent="0.25">
      <c r="A133" s="128"/>
      <c r="B133" s="128"/>
      <c r="C133" s="128"/>
      <c r="D133" s="128"/>
      <c r="E133" s="128">
        <v>1</v>
      </c>
      <c r="F133" s="128"/>
      <c r="G133" s="128"/>
      <c r="H133" s="128"/>
      <c r="I133" s="128"/>
      <c r="J133" s="99" t="s">
        <v>162</v>
      </c>
      <c r="K133" s="42" t="s">
        <v>410</v>
      </c>
      <c r="L133" s="37"/>
      <c r="M133" s="37"/>
      <c r="N133" s="42"/>
      <c r="O133" s="42"/>
      <c r="P133" s="42">
        <v>1</v>
      </c>
      <c r="Q133" s="42"/>
      <c r="R133" s="37"/>
      <c r="S133" s="38">
        <v>2500</v>
      </c>
      <c r="T133" s="43" t="s">
        <v>46</v>
      </c>
      <c r="U133" s="39">
        <v>2518.6999999999998</v>
      </c>
      <c r="V133" s="125">
        <f t="shared" si="27"/>
        <v>18.699999999999818</v>
      </c>
      <c r="W133" s="44"/>
      <c r="X133" s="45"/>
      <c r="Y133" s="124">
        <v>1</v>
      </c>
      <c r="Z133" s="124">
        <v>0</v>
      </c>
      <c r="AA133" s="124"/>
      <c r="AB133" s="124">
        <v>12</v>
      </c>
      <c r="AC133" s="130">
        <f t="shared" si="28"/>
        <v>12</v>
      </c>
      <c r="AD133" s="45">
        <v>6</v>
      </c>
      <c r="AE133" s="46">
        <v>2000</v>
      </c>
      <c r="AF133" s="47">
        <v>1000</v>
      </c>
      <c r="AG133" s="167">
        <f t="shared" si="18"/>
        <v>89.759999999999124</v>
      </c>
      <c r="AH133" s="168" t="str">
        <f t="shared" si="19"/>
        <v/>
      </c>
      <c r="AI133" s="168">
        <f t="shared" si="20"/>
        <v>179.51999999999825</v>
      </c>
      <c r="AJ133" s="167" t="str">
        <f t="shared" si="21"/>
        <v/>
      </c>
      <c r="AK133" s="167">
        <f t="shared" si="22"/>
        <v>7488000</v>
      </c>
      <c r="AL133" s="167">
        <f t="shared" si="23"/>
        <v>56010.239999999452</v>
      </c>
      <c r="AM133" s="167" t="str">
        <f t="shared" si="24"/>
        <v/>
      </c>
    </row>
    <row r="134" spans="1:39" ht="24.75" hidden="1" x14ac:dyDescent="0.25">
      <c r="A134" s="128" t="s">
        <v>411</v>
      </c>
      <c r="B134" s="128" t="s">
        <v>412</v>
      </c>
      <c r="C134" s="128" t="s">
        <v>413</v>
      </c>
      <c r="D134" s="128"/>
      <c r="E134" s="128">
        <v>1</v>
      </c>
      <c r="F134" s="128"/>
      <c r="G134" s="128"/>
      <c r="H134" s="128"/>
      <c r="I134" s="128"/>
      <c r="J134" s="99" t="s">
        <v>173</v>
      </c>
      <c r="K134" s="42" t="s">
        <v>414</v>
      </c>
      <c r="L134" s="37"/>
      <c r="M134" s="37"/>
      <c r="N134" s="42"/>
      <c r="O134" s="42"/>
      <c r="P134" s="42"/>
      <c r="Q134" s="42">
        <v>1</v>
      </c>
      <c r="R134" s="37"/>
      <c r="S134" s="38">
        <v>1000</v>
      </c>
      <c r="T134" s="43" t="s">
        <v>202</v>
      </c>
      <c r="U134" s="39">
        <v>987.85</v>
      </c>
      <c r="V134" s="125">
        <f t="shared" si="27"/>
        <v>-12.149999999999977</v>
      </c>
      <c r="W134" s="44"/>
      <c r="X134" s="45"/>
      <c r="Y134" s="124">
        <v>1</v>
      </c>
      <c r="Z134" s="124">
        <v>0</v>
      </c>
      <c r="AA134" s="124"/>
      <c r="AB134" s="124">
        <v>8.6</v>
      </c>
      <c r="AC134" s="130">
        <f t="shared" si="28"/>
        <v>8.6</v>
      </c>
      <c r="AD134" s="45">
        <v>6</v>
      </c>
      <c r="AE134" s="46">
        <v>5500</v>
      </c>
      <c r="AF134" s="47">
        <v>920</v>
      </c>
      <c r="AG134" s="167" t="str">
        <f t="shared" si="18"/>
        <v/>
      </c>
      <c r="AH134" s="168">
        <f t="shared" si="19"/>
        <v>-96.130799999999823</v>
      </c>
      <c r="AI134" s="168" t="str">
        <f t="shared" si="20"/>
        <v/>
      </c>
      <c r="AJ134" s="167">
        <f t="shared" si="21"/>
        <v>-574.69499999999891</v>
      </c>
      <c r="AK134" s="167">
        <f t="shared" si="22"/>
        <v>14757600</v>
      </c>
      <c r="AL134" s="167" t="str">
        <f t="shared" si="23"/>
        <v/>
      </c>
      <c r="AM134" s="167">
        <f t="shared" si="24"/>
        <v>179304.83999999968</v>
      </c>
    </row>
    <row r="135" spans="1:39" hidden="1" x14ac:dyDescent="0.25">
      <c r="A135" s="128"/>
      <c r="B135" s="128"/>
      <c r="C135" s="128"/>
      <c r="D135" s="128"/>
      <c r="E135" s="128">
        <v>1</v>
      </c>
      <c r="F135" s="128"/>
      <c r="G135" s="128"/>
      <c r="H135" s="128"/>
      <c r="I135" s="128"/>
      <c r="J135" s="99" t="s">
        <v>160</v>
      </c>
      <c r="K135" s="42" t="s">
        <v>415</v>
      </c>
      <c r="L135" s="37"/>
      <c r="M135" s="37"/>
      <c r="N135" s="42"/>
      <c r="O135" s="42"/>
      <c r="P135" s="42"/>
      <c r="Q135" s="42">
        <v>1</v>
      </c>
      <c r="R135" s="37"/>
      <c r="S135" s="38">
        <v>500</v>
      </c>
      <c r="T135" s="43" t="s">
        <v>202</v>
      </c>
      <c r="U135" s="39">
        <v>498.67</v>
      </c>
      <c r="V135" s="125">
        <f t="shared" si="27"/>
        <v>-1.3299999999999841</v>
      </c>
      <c r="W135" s="44"/>
      <c r="X135" s="45"/>
      <c r="Y135" s="124">
        <v>1</v>
      </c>
      <c r="Z135" s="124">
        <v>0</v>
      </c>
      <c r="AA135" s="124"/>
      <c r="AB135" s="124">
        <v>3.5</v>
      </c>
      <c r="AC135" s="130">
        <f t="shared" si="28"/>
        <v>3.5</v>
      </c>
      <c r="AD135" s="45">
        <v>6</v>
      </c>
      <c r="AE135" s="46">
        <v>3000</v>
      </c>
      <c r="AF135" s="47">
        <v>1200</v>
      </c>
      <c r="AG135" s="167" t="str">
        <f t="shared" si="18"/>
        <v/>
      </c>
      <c r="AH135" s="168">
        <f t="shared" si="19"/>
        <v>-11.171999999999867</v>
      </c>
      <c r="AI135" s="168" t="str">
        <f t="shared" si="20"/>
        <v/>
      </c>
      <c r="AJ135" s="167">
        <f t="shared" si="21"/>
        <v>-27.929999999999669</v>
      </c>
      <c r="AK135" s="167">
        <f t="shared" si="22"/>
        <v>3276000</v>
      </c>
      <c r="AL135" s="167" t="str">
        <f t="shared" si="23"/>
        <v/>
      </c>
      <c r="AM135" s="167">
        <f t="shared" si="24"/>
        <v>8714.159999999898</v>
      </c>
    </row>
    <row r="136" spans="1:39" ht="24.75" hidden="1" x14ac:dyDescent="0.25">
      <c r="A136" s="128" t="s">
        <v>416</v>
      </c>
      <c r="B136" s="128" t="s">
        <v>201</v>
      </c>
      <c r="C136" s="128" t="s">
        <v>417</v>
      </c>
      <c r="D136" s="128"/>
      <c r="E136" s="128">
        <v>1</v>
      </c>
      <c r="F136" s="128"/>
      <c r="G136" s="128"/>
      <c r="H136" s="128">
        <v>1</v>
      </c>
      <c r="I136" s="128"/>
      <c r="J136" s="99" t="s">
        <v>112</v>
      </c>
      <c r="K136" s="42" t="s">
        <v>418</v>
      </c>
      <c r="L136" s="37"/>
      <c r="M136" s="37"/>
      <c r="N136" s="42"/>
      <c r="O136" s="42"/>
      <c r="P136" s="42">
        <v>1</v>
      </c>
      <c r="Q136" s="42"/>
      <c r="R136" s="37"/>
      <c r="S136" s="38">
        <v>5000</v>
      </c>
      <c r="T136" s="43" t="s">
        <v>46</v>
      </c>
      <c r="U136" s="39">
        <v>4982.6899999999996</v>
      </c>
      <c r="V136" s="125">
        <f t="shared" ref="V136:V199" si="29">-S136+U136</f>
        <v>-17.3100000000004</v>
      </c>
      <c r="W136" s="44"/>
      <c r="X136" s="45"/>
      <c r="Y136" s="124">
        <v>1</v>
      </c>
      <c r="Z136" s="124">
        <v>0</v>
      </c>
      <c r="AA136" s="124"/>
      <c r="AB136" s="124">
        <v>150</v>
      </c>
      <c r="AC136" s="130">
        <f t="shared" si="28"/>
        <v>150</v>
      </c>
      <c r="AD136" s="45">
        <v>6</v>
      </c>
      <c r="AE136" s="46">
        <v>5000</v>
      </c>
      <c r="AF136" s="47">
        <v>450</v>
      </c>
      <c r="AG136" s="167" t="str">
        <f t="shared" si="18"/>
        <v/>
      </c>
      <c r="AH136" s="168">
        <f t="shared" si="19"/>
        <v>-233.6850000000054</v>
      </c>
      <c r="AI136" s="168" t="str">
        <f t="shared" si="20"/>
        <v/>
      </c>
      <c r="AJ136" s="167">
        <f t="shared" si="21"/>
        <v>-2596.50000000006</v>
      </c>
      <c r="AK136" s="167">
        <f t="shared" si="22"/>
        <v>234000000</v>
      </c>
      <c r="AL136" s="167" t="str">
        <f t="shared" si="23"/>
        <v/>
      </c>
      <c r="AM136" s="167">
        <f t="shared" si="24"/>
        <v>810108.00000001874</v>
      </c>
    </row>
    <row r="137" spans="1:39" ht="24.75" hidden="1" x14ac:dyDescent="0.25">
      <c r="A137" s="128"/>
      <c r="B137" s="128"/>
      <c r="C137" s="128"/>
      <c r="D137" s="128"/>
      <c r="E137" s="128">
        <v>1</v>
      </c>
      <c r="F137" s="128"/>
      <c r="G137" s="128"/>
      <c r="H137" s="128"/>
      <c r="I137" s="128"/>
      <c r="J137" s="99" t="s">
        <v>112</v>
      </c>
      <c r="K137" s="42" t="s">
        <v>419</v>
      </c>
      <c r="L137" s="37"/>
      <c r="M137" s="37"/>
      <c r="N137" s="42"/>
      <c r="O137" s="42">
        <v>1</v>
      </c>
      <c r="P137" s="42"/>
      <c r="Q137" s="42"/>
      <c r="R137" s="37"/>
      <c r="S137" s="38">
        <v>5000</v>
      </c>
      <c r="T137" s="43" t="s">
        <v>46</v>
      </c>
      <c r="U137" s="39">
        <v>4992</v>
      </c>
      <c r="V137" s="125">
        <f t="shared" si="29"/>
        <v>-8</v>
      </c>
      <c r="W137" s="44">
        <v>1</v>
      </c>
      <c r="X137" s="45"/>
      <c r="Y137" s="124">
        <v>1</v>
      </c>
      <c r="Z137" s="124">
        <v>0</v>
      </c>
      <c r="AA137" s="124"/>
      <c r="AB137" s="124">
        <v>150</v>
      </c>
      <c r="AC137" s="130">
        <f t="shared" si="28"/>
        <v>150</v>
      </c>
      <c r="AD137" s="45">
        <v>6</v>
      </c>
      <c r="AE137" s="46">
        <v>4000</v>
      </c>
      <c r="AF137" s="47">
        <v>500</v>
      </c>
      <c r="AG137" s="167" t="str">
        <f t="shared" ref="AG137:AG200" si="30">IF((-S137+U137)&lt;0,"",(AC137/S137)*V137*AF137)</f>
        <v/>
      </c>
      <c r="AH137" s="168">
        <f t="shared" ref="AH137:AH200" si="31">IF((-S137+U137)&gt;0,"",(AC137/S137)*V137*AF137)</f>
        <v>-120</v>
      </c>
      <c r="AI137" s="168" t="str">
        <f t="shared" ref="AI137:AI200" si="32">IF((-S137+U137)&lt;0,"",(AC137/S137)*V137*AE137)</f>
        <v/>
      </c>
      <c r="AJ137" s="167">
        <f t="shared" ref="AJ137:AJ200" si="33">IF((-S137+U137)&gt;0,"",(AC137/S137)*V137*AE137)</f>
        <v>-960</v>
      </c>
      <c r="AK137" s="167">
        <f t="shared" ref="AK137:AK200" si="34">AC137*AE137*AD137*52</f>
        <v>187200000</v>
      </c>
      <c r="AL137" s="167" t="str">
        <f t="shared" ref="AL137:AL200" si="35">IF((-S137+U137)&lt;0,"",AI137*AD137*52)</f>
        <v/>
      </c>
      <c r="AM137" s="167">
        <f t="shared" ref="AM137:AM200" si="36">IF((-S137+U137)&gt;0,"",-AJ137*AD137*52)</f>
        <v>299520</v>
      </c>
    </row>
    <row r="138" spans="1:39" x14ac:dyDescent="0.25">
      <c r="A138" s="128" t="s">
        <v>420</v>
      </c>
      <c r="B138" s="128" t="s">
        <v>203</v>
      </c>
      <c r="C138" s="128" t="s">
        <v>421</v>
      </c>
      <c r="D138" s="128"/>
      <c r="E138" s="128">
        <v>1</v>
      </c>
      <c r="F138" s="128"/>
      <c r="G138" s="128"/>
      <c r="H138" s="128"/>
      <c r="I138" s="128"/>
      <c r="J138" s="99" t="s">
        <v>142</v>
      </c>
      <c r="K138" s="42" t="s">
        <v>48</v>
      </c>
      <c r="L138" s="37"/>
      <c r="M138" s="37"/>
      <c r="N138" s="42"/>
      <c r="O138" s="42">
        <v>1</v>
      </c>
      <c r="P138" s="42"/>
      <c r="Q138" s="42"/>
      <c r="R138" s="37"/>
      <c r="S138" s="38">
        <v>600</v>
      </c>
      <c r="T138" s="43" t="s">
        <v>46</v>
      </c>
      <c r="U138" s="39">
        <v>608.84</v>
      </c>
      <c r="V138" s="25">
        <f t="shared" si="29"/>
        <v>8.8400000000000318</v>
      </c>
      <c r="W138" s="44"/>
      <c r="X138" s="45"/>
      <c r="Y138" s="124">
        <v>1</v>
      </c>
      <c r="Z138" s="124">
        <v>0</v>
      </c>
      <c r="AA138" s="124"/>
      <c r="AB138" s="124">
        <v>6.5</v>
      </c>
      <c r="AC138" s="130">
        <f t="shared" si="28"/>
        <v>6.5</v>
      </c>
      <c r="AD138" s="45">
        <v>6</v>
      </c>
      <c r="AE138" s="46">
        <v>500</v>
      </c>
      <c r="AF138" s="47">
        <v>350</v>
      </c>
      <c r="AG138" s="167">
        <f t="shared" si="30"/>
        <v>33.518333333333452</v>
      </c>
      <c r="AH138" s="168" t="str">
        <f t="shared" si="31"/>
        <v/>
      </c>
      <c r="AI138" s="168">
        <f t="shared" si="32"/>
        <v>47.883333333333503</v>
      </c>
      <c r="AJ138" s="167" t="str">
        <f t="shared" si="33"/>
        <v/>
      </c>
      <c r="AK138" s="167">
        <f t="shared" si="34"/>
        <v>1014000</v>
      </c>
      <c r="AL138" s="167">
        <f t="shared" si="35"/>
        <v>14939.600000000053</v>
      </c>
      <c r="AM138" s="167" t="str">
        <f t="shared" si="36"/>
        <v/>
      </c>
    </row>
    <row r="139" spans="1:39" x14ac:dyDescent="0.25">
      <c r="A139" s="128"/>
      <c r="B139" s="128"/>
      <c r="C139" s="128"/>
      <c r="D139" s="128"/>
      <c r="E139" s="128">
        <v>1</v>
      </c>
      <c r="F139" s="128"/>
      <c r="G139" s="128"/>
      <c r="H139" s="128"/>
      <c r="I139" s="128"/>
      <c r="J139" s="99" t="s">
        <v>141</v>
      </c>
      <c r="K139" s="42" t="s">
        <v>397</v>
      </c>
      <c r="L139" s="37"/>
      <c r="M139" s="37"/>
      <c r="N139" s="42"/>
      <c r="O139" s="42">
        <v>1</v>
      </c>
      <c r="P139" s="42"/>
      <c r="Q139" s="42"/>
      <c r="R139" s="37"/>
      <c r="S139" s="38">
        <v>600</v>
      </c>
      <c r="T139" s="43" t="s">
        <v>46</v>
      </c>
      <c r="U139" s="39">
        <v>609.22</v>
      </c>
      <c r="V139" s="25">
        <f t="shared" si="29"/>
        <v>9.2200000000000273</v>
      </c>
      <c r="W139" s="44"/>
      <c r="X139" s="45"/>
      <c r="Y139" s="124">
        <v>1</v>
      </c>
      <c r="Z139" s="124">
        <v>0</v>
      </c>
      <c r="AA139" s="124"/>
      <c r="AB139" s="124">
        <v>6.3</v>
      </c>
      <c r="AC139" s="130">
        <f t="shared" si="28"/>
        <v>6.3</v>
      </c>
      <c r="AD139" s="45">
        <v>6</v>
      </c>
      <c r="AE139" s="46">
        <v>500</v>
      </c>
      <c r="AF139" s="47">
        <v>250</v>
      </c>
      <c r="AG139" s="167">
        <f t="shared" si="30"/>
        <v>24.202500000000068</v>
      </c>
      <c r="AH139" s="168" t="str">
        <f t="shared" si="31"/>
        <v/>
      </c>
      <c r="AI139" s="168">
        <f t="shared" si="32"/>
        <v>48.405000000000136</v>
      </c>
      <c r="AJ139" s="167" t="str">
        <f t="shared" si="33"/>
        <v/>
      </c>
      <c r="AK139" s="167">
        <f t="shared" si="34"/>
        <v>982800</v>
      </c>
      <c r="AL139" s="167">
        <f t="shared" si="35"/>
        <v>15102.360000000042</v>
      </c>
      <c r="AM139" s="167" t="str">
        <f t="shared" si="36"/>
        <v/>
      </c>
    </row>
    <row r="140" spans="1:39" x14ac:dyDescent="0.25">
      <c r="A140" s="128" t="s">
        <v>422</v>
      </c>
      <c r="B140" s="128" t="s">
        <v>42</v>
      </c>
      <c r="C140" s="128" t="s">
        <v>423</v>
      </c>
      <c r="D140" s="128"/>
      <c r="E140" s="128">
        <v>1</v>
      </c>
      <c r="F140" s="128"/>
      <c r="G140" s="128"/>
      <c r="H140" s="128"/>
      <c r="I140" s="128"/>
      <c r="J140" s="99" t="s">
        <v>141</v>
      </c>
      <c r="K140" s="42" t="s">
        <v>397</v>
      </c>
      <c r="L140" s="37"/>
      <c r="M140" s="37">
        <v>29</v>
      </c>
      <c r="N140" s="42"/>
      <c r="O140" s="42"/>
      <c r="P140" s="42"/>
      <c r="Q140" s="42"/>
      <c r="R140" s="37"/>
      <c r="S140" s="38">
        <v>700</v>
      </c>
      <c r="T140" s="43" t="s">
        <v>46</v>
      </c>
      <c r="U140" s="39">
        <v>710.33</v>
      </c>
      <c r="V140" s="25">
        <f t="shared" si="29"/>
        <v>10.330000000000041</v>
      </c>
      <c r="W140" s="44"/>
      <c r="X140" s="45"/>
      <c r="Y140" s="124">
        <v>1</v>
      </c>
      <c r="Z140" s="124">
        <v>0</v>
      </c>
      <c r="AA140" s="124"/>
      <c r="AB140" s="124">
        <v>6.3</v>
      </c>
      <c r="AC140" s="130">
        <f t="shared" si="28"/>
        <v>6.3</v>
      </c>
      <c r="AD140" s="45">
        <v>6</v>
      </c>
      <c r="AE140" s="46">
        <v>150</v>
      </c>
      <c r="AF140" s="47">
        <v>29</v>
      </c>
      <c r="AG140" s="167">
        <f t="shared" si="30"/>
        <v>2.6961300000000104</v>
      </c>
      <c r="AH140" s="168" t="str">
        <f t="shared" si="31"/>
        <v/>
      </c>
      <c r="AI140" s="168">
        <f t="shared" si="32"/>
        <v>13.945500000000054</v>
      </c>
      <c r="AJ140" s="167" t="str">
        <f t="shared" si="33"/>
        <v/>
      </c>
      <c r="AK140" s="167">
        <f t="shared" si="34"/>
        <v>294840</v>
      </c>
      <c r="AL140" s="167">
        <f t="shared" si="35"/>
        <v>4350.9960000000174</v>
      </c>
      <c r="AM140" s="167" t="str">
        <f t="shared" si="36"/>
        <v/>
      </c>
    </row>
    <row r="141" spans="1:39" x14ac:dyDescent="0.25">
      <c r="A141" s="128"/>
      <c r="B141" s="128"/>
      <c r="C141" s="128"/>
      <c r="D141" s="128"/>
      <c r="E141" s="128">
        <v>1</v>
      </c>
      <c r="F141" s="128"/>
      <c r="G141" s="128"/>
      <c r="H141" s="128"/>
      <c r="I141" s="128"/>
      <c r="J141" s="99" t="s">
        <v>142</v>
      </c>
      <c r="K141" s="42" t="s">
        <v>48</v>
      </c>
      <c r="L141" s="37"/>
      <c r="M141" s="37">
        <v>30</v>
      </c>
      <c r="N141" s="42"/>
      <c r="O141" s="42"/>
      <c r="P141" s="42"/>
      <c r="Q141" s="42"/>
      <c r="R141" s="37"/>
      <c r="S141" s="38">
        <v>700</v>
      </c>
      <c r="T141" s="43" t="s">
        <v>46</v>
      </c>
      <c r="U141" s="39">
        <v>709.79</v>
      </c>
      <c r="V141" s="25">
        <f t="shared" si="29"/>
        <v>9.7899999999999636</v>
      </c>
      <c r="W141" s="44"/>
      <c r="X141" s="45"/>
      <c r="Y141" s="124">
        <v>1</v>
      </c>
      <c r="Z141" s="124">
        <v>0</v>
      </c>
      <c r="AA141" s="124"/>
      <c r="AB141" s="124">
        <v>6.8</v>
      </c>
      <c r="AC141" s="130">
        <f t="shared" si="28"/>
        <v>6.8</v>
      </c>
      <c r="AD141" s="45">
        <v>6</v>
      </c>
      <c r="AE141" s="46">
        <v>150</v>
      </c>
      <c r="AF141" s="47">
        <v>30</v>
      </c>
      <c r="AG141" s="167">
        <f t="shared" si="30"/>
        <v>2.8530857142857036</v>
      </c>
      <c r="AH141" s="168" t="str">
        <f t="shared" si="31"/>
        <v/>
      </c>
      <c r="AI141" s="168">
        <f t="shared" si="32"/>
        <v>14.265428571428517</v>
      </c>
      <c r="AJ141" s="167" t="str">
        <f t="shared" si="33"/>
        <v/>
      </c>
      <c r="AK141" s="167">
        <f t="shared" si="34"/>
        <v>318240</v>
      </c>
      <c r="AL141" s="167">
        <f t="shared" si="35"/>
        <v>4450.8137142856976</v>
      </c>
      <c r="AM141" s="167" t="str">
        <f t="shared" si="36"/>
        <v/>
      </c>
    </row>
    <row r="142" spans="1:39" hidden="1" x14ac:dyDescent="0.25">
      <c r="A142" s="128" t="s">
        <v>424</v>
      </c>
      <c r="B142" s="128" t="s">
        <v>425</v>
      </c>
      <c r="C142" s="128" t="s">
        <v>426</v>
      </c>
      <c r="D142" s="128"/>
      <c r="E142" s="128">
        <v>1</v>
      </c>
      <c r="F142" s="128"/>
      <c r="G142" s="128"/>
      <c r="H142" s="128"/>
      <c r="I142" s="128"/>
      <c r="J142" s="99" t="s">
        <v>102</v>
      </c>
      <c r="K142" s="42" t="s">
        <v>427</v>
      </c>
      <c r="L142" s="37"/>
      <c r="M142" s="37">
        <v>19</v>
      </c>
      <c r="N142" s="42"/>
      <c r="O142" s="42"/>
      <c r="P142" s="42"/>
      <c r="Q142" s="42"/>
      <c r="R142" s="37"/>
      <c r="S142" s="38">
        <v>6214</v>
      </c>
      <c r="T142" s="43" t="s">
        <v>46</v>
      </c>
      <c r="U142" s="39">
        <v>6214</v>
      </c>
      <c r="V142" s="125">
        <f t="shared" si="29"/>
        <v>0</v>
      </c>
      <c r="W142" s="44"/>
      <c r="X142" s="45"/>
      <c r="Y142" s="124">
        <v>1</v>
      </c>
      <c r="Z142" s="124">
        <v>0</v>
      </c>
      <c r="AA142" s="124"/>
      <c r="AB142" s="124">
        <v>47.8</v>
      </c>
      <c r="AC142" s="130">
        <f t="shared" si="28"/>
        <v>47.8</v>
      </c>
      <c r="AD142" s="45">
        <v>6</v>
      </c>
      <c r="AE142" s="46">
        <v>160</v>
      </c>
      <c r="AF142" s="47">
        <v>19</v>
      </c>
      <c r="AG142" s="167">
        <f t="shared" si="30"/>
        <v>0</v>
      </c>
      <c r="AH142" s="168">
        <f t="shared" si="31"/>
        <v>0</v>
      </c>
      <c r="AI142" s="168">
        <f t="shared" si="32"/>
        <v>0</v>
      </c>
      <c r="AJ142" s="167">
        <f t="shared" si="33"/>
        <v>0</v>
      </c>
      <c r="AK142" s="167">
        <f t="shared" si="34"/>
        <v>2386176</v>
      </c>
      <c r="AL142" s="167">
        <f t="shared" si="35"/>
        <v>0</v>
      </c>
      <c r="AM142" s="167">
        <f t="shared" si="36"/>
        <v>0</v>
      </c>
    </row>
    <row r="143" spans="1:39" hidden="1" x14ac:dyDescent="0.25">
      <c r="A143" s="128"/>
      <c r="B143" s="128"/>
      <c r="C143" s="128"/>
      <c r="D143" s="128"/>
      <c r="E143" s="128">
        <v>1</v>
      </c>
      <c r="F143" s="128"/>
      <c r="G143" s="128"/>
      <c r="H143" s="128"/>
      <c r="I143" s="128"/>
      <c r="J143" s="99" t="s">
        <v>102</v>
      </c>
      <c r="K143" s="42" t="s">
        <v>428</v>
      </c>
      <c r="L143" s="37"/>
      <c r="M143" s="37">
        <v>21</v>
      </c>
      <c r="N143" s="42"/>
      <c r="O143" s="42"/>
      <c r="P143" s="42"/>
      <c r="Q143" s="42"/>
      <c r="R143" s="37"/>
      <c r="S143" s="38">
        <v>7101</v>
      </c>
      <c r="T143" s="43" t="s">
        <v>46</v>
      </c>
      <c r="U143" s="39">
        <v>7105</v>
      </c>
      <c r="V143" s="125">
        <f t="shared" si="29"/>
        <v>4</v>
      </c>
      <c r="W143" s="44"/>
      <c r="X143" s="45"/>
      <c r="Y143" s="124">
        <v>1</v>
      </c>
      <c r="Z143" s="124">
        <v>0</v>
      </c>
      <c r="AA143" s="124"/>
      <c r="AB143" s="124">
        <v>58.4</v>
      </c>
      <c r="AC143" s="130">
        <f t="shared" si="28"/>
        <v>58.4</v>
      </c>
      <c r="AD143" s="45">
        <v>6</v>
      </c>
      <c r="AE143" s="46">
        <v>120</v>
      </c>
      <c r="AF143" s="47">
        <v>21</v>
      </c>
      <c r="AG143" s="167">
        <f t="shared" si="30"/>
        <v>0.69083227714406426</v>
      </c>
      <c r="AH143" s="168" t="str">
        <f t="shared" si="31"/>
        <v/>
      </c>
      <c r="AI143" s="168">
        <f t="shared" si="32"/>
        <v>3.9476130122517956</v>
      </c>
      <c r="AJ143" s="167" t="str">
        <f t="shared" si="33"/>
        <v/>
      </c>
      <c r="AK143" s="167">
        <f t="shared" si="34"/>
        <v>2186496</v>
      </c>
      <c r="AL143" s="167">
        <f t="shared" si="35"/>
        <v>1231.6552598225601</v>
      </c>
      <c r="AM143" s="167" t="str">
        <f t="shared" si="36"/>
        <v/>
      </c>
    </row>
    <row r="144" spans="1:39" x14ac:dyDescent="0.25">
      <c r="A144" s="128" t="s">
        <v>429</v>
      </c>
      <c r="B144" s="128" t="s">
        <v>203</v>
      </c>
      <c r="C144" s="128" t="s">
        <v>430</v>
      </c>
      <c r="D144" s="128"/>
      <c r="E144" s="128">
        <v>1</v>
      </c>
      <c r="F144" s="128"/>
      <c r="G144" s="128"/>
      <c r="H144" s="128"/>
      <c r="I144" s="128"/>
      <c r="J144" s="99" t="s">
        <v>141</v>
      </c>
      <c r="K144" s="42" t="s">
        <v>397</v>
      </c>
      <c r="L144" s="37"/>
      <c r="M144" s="37"/>
      <c r="N144" s="42"/>
      <c r="O144" s="42">
        <v>1</v>
      </c>
      <c r="P144" s="42"/>
      <c r="Q144" s="42"/>
      <c r="R144" s="37"/>
      <c r="S144" s="38">
        <v>600</v>
      </c>
      <c r="T144" s="43" t="s">
        <v>46</v>
      </c>
      <c r="U144" s="39">
        <v>609.20000000000005</v>
      </c>
      <c r="V144" s="25">
        <f t="shared" si="29"/>
        <v>9.2000000000000455</v>
      </c>
      <c r="W144" s="44"/>
      <c r="X144" s="45"/>
      <c r="Y144" s="124">
        <v>1</v>
      </c>
      <c r="Z144" s="124">
        <v>0</v>
      </c>
      <c r="AA144" s="124"/>
      <c r="AB144" s="124">
        <v>6</v>
      </c>
      <c r="AC144" s="130">
        <f t="shared" si="28"/>
        <v>6</v>
      </c>
      <c r="AD144" s="45">
        <v>6</v>
      </c>
      <c r="AE144" s="46">
        <v>500</v>
      </c>
      <c r="AF144" s="47">
        <v>200</v>
      </c>
      <c r="AG144" s="167">
        <f t="shared" si="30"/>
        <v>18.400000000000091</v>
      </c>
      <c r="AH144" s="168" t="str">
        <f t="shared" si="31"/>
        <v/>
      </c>
      <c r="AI144" s="168">
        <f t="shared" si="32"/>
        <v>46.000000000000227</v>
      </c>
      <c r="AJ144" s="167" t="str">
        <f t="shared" si="33"/>
        <v/>
      </c>
      <c r="AK144" s="167">
        <f t="shared" si="34"/>
        <v>936000</v>
      </c>
      <c r="AL144" s="167">
        <f t="shared" si="35"/>
        <v>14352.000000000071</v>
      </c>
      <c r="AM144" s="167" t="str">
        <f t="shared" si="36"/>
        <v/>
      </c>
    </row>
    <row r="145" spans="1:39" x14ac:dyDescent="0.25">
      <c r="A145" s="128"/>
      <c r="B145" s="128"/>
      <c r="C145" s="128"/>
      <c r="D145" s="128"/>
      <c r="E145" s="128">
        <v>1</v>
      </c>
      <c r="F145" s="128"/>
      <c r="G145" s="128"/>
      <c r="H145" s="128"/>
      <c r="I145" s="128"/>
      <c r="J145" s="99" t="s">
        <v>142</v>
      </c>
      <c r="K145" s="42" t="s">
        <v>48</v>
      </c>
      <c r="L145" s="37"/>
      <c r="M145" s="37"/>
      <c r="N145" s="42"/>
      <c r="O145" s="42">
        <v>1</v>
      </c>
      <c r="P145" s="42"/>
      <c r="Q145" s="42"/>
      <c r="R145" s="37"/>
      <c r="S145" s="38">
        <v>600</v>
      </c>
      <c r="T145" s="43" t="s">
        <v>46</v>
      </c>
      <c r="U145" s="39">
        <v>609.9</v>
      </c>
      <c r="V145" s="25">
        <f t="shared" si="29"/>
        <v>9.8999999999999773</v>
      </c>
      <c r="W145" s="44"/>
      <c r="X145" s="45"/>
      <c r="Y145" s="124">
        <v>1</v>
      </c>
      <c r="Z145" s="124">
        <v>0</v>
      </c>
      <c r="AA145" s="124"/>
      <c r="AB145" s="124">
        <v>6.5</v>
      </c>
      <c r="AC145" s="130">
        <f t="shared" si="28"/>
        <v>6.5</v>
      </c>
      <c r="AD145" s="45">
        <v>6</v>
      </c>
      <c r="AE145" s="46">
        <v>500</v>
      </c>
      <c r="AF145" s="47">
        <v>210</v>
      </c>
      <c r="AG145" s="167">
        <f t="shared" si="30"/>
        <v>22.522499999999951</v>
      </c>
      <c r="AH145" s="168" t="str">
        <f t="shared" si="31"/>
        <v/>
      </c>
      <c r="AI145" s="168">
        <f t="shared" si="32"/>
        <v>53.624999999999879</v>
      </c>
      <c r="AJ145" s="167" t="str">
        <f t="shared" si="33"/>
        <v/>
      </c>
      <c r="AK145" s="167">
        <f t="shared" si="34"/>
        <v>1014000</v>
      </c>
      <c r="AL145" s="167">
        <f t="shared" si="35"/>
        <v>16730.99999999996</v>
      </c>
      <c r="AM145" s="167" t="str">
        <f t="shared" si="36"/>
        <v/>
      </c>
    </row>
    <row r="146" spans="1:39" hidden="1" x14ac:dyDescent="0.25">
      <c r="A146" s="124" t="s">
        <v>431</v>
      </c>
      <c r="B146" s="124" t="s">
        <v>201</v>
      </c>
      <c r="C146" s="124" t="s">
        <v>432</v>
      </c>
      <c r="D146" s="124">
        <v>0</v>
      </c>
      <c r="E146" s="124">
        <v>1</v>
      </c>
      <c r="F146" s="124">
        <v>0</v>
      </c>
      <c r="G146" s="124">
        <v>1</v>
      </c>
      <c r="H146" s="124">
        <v>1</v>
      </c>
      <c r="I146" s="124">
        <v>0</v>
      </c>
      <c r="J146" s="99" t="s">
        <v>162</v>
      </c>
      <c r="K146" s="37" t="s">
        <v>433</v>
      </c>
      <c r="L146" s="37">
        <v>4.5</v>
      </c>
      <c r="M146" s="37">
        <v>25</v>
      </c>
      <c r="N146" s="37"/>
      <c r="O146" s="37">
        <v>0</v>
      </c>
      <c r="P146" s="37">
        <v>0</v>
      </c>
      <c r="Q146" s="37">
        <v>0</v>
      </c>
      <c r="R146" s="37"/>
      <c r="S146" s="38">
        <v>12500</v>
      </c>
      <c r="T146" s="38" t="s">
        <v>46</v>
      </c>
      <c r="U146" s="39">
        <v>12415.88</v>
      </c>
      <c r="V146" s="125">
        <f t="shared" si="29"/>
        <v>-84.1200000000008</v>
      </c>
      <c r="W146" s="79">
        <v>0</v>
      </c>
      <c r="X146" s="40">
        <v>0</v>
      </c>
      <c r="Y146" s="124">
        <v>1</v>
      </c>
      <c r="Z146" s="124">
        <v>1</v>
      </c>
      <c r="AA146" s="124"/>
      <c r="AB146" s="124">
        <v>36</v>
      </c>
      <c r="AC146" s="130">
        <f>IF(AA146&gt;0,AA146/1000*S146/R146,AB146)</f>
        <v>36</v>
      </c>
      <c r="AD146" s="40">
        <v>3</v>
      </c>
      <c r="AE146" s="41">
        <v>150</v>
      </c>
      <c r="AF146" s="80">
        <v>25</v>
      </c>
      <c r="AG146" s="167" t="str">
        <f t="shared" si="30"/>
        <v/>
      </c>
      <c r="AH146" s="168">
        <f t="shared" si="31"/>
        <v>-6.0566400000000584</v>
      </c>
      <c r="AI146" s="168" t="str">
        <f t="shared" si="32"/>
        <v/>
      </c>
      <c r="AJ146" s="167">
        <f t="shared" si="33"/>
        <v>-36.339840000000351</v>
      </c>
      <c r="AK146" s="167">
        <f t="shared" si="34"/>
        <v>842400</v>
      </c>
      <c r="AL146" s="167" t="str">
        <f t="shared" si="35"/>
        <v/>
      </c>
      <c r="AM146" s="167">
        <f t="shared" si="36"/>
        <v>5669.0150400000548</v>
      </c>
    </row>
    <row r="147" spans="1:39" hidden="1" x14ac:dyDescent="0.25">
      <c r="A147" s="128"/>
      <c r="B147" s="128"/>
      <c r="C147" s="128"/>
      <c r="D147" s="128">
        <v>0</v>
      </c>
      <c r="E147" s="128">
        <v>1</v>
      </c>
      <c r="F147" s="128">
        <v>0</v>
      </c>
      <c r="G147" s="128">
        <v>1</v>
      </c>
      <c r="H147" s="124">
        <v>1</v>
      </c>
      <c r="I147" s="124">
        <v>0</v>
      </c>
      <c r="J147" s="99" t="s">
        <v>193</v>
      </c>
      <c r="K147" s="37" t="s">
        <v>434</v>
      </c>
      <c r="L147" s="37">
        <v>4.5</v>
      </c>
      <c r="M147" s="37"/>
      <c r="N147" s="42"/>
      <c r="O147" s="42">
        <v>1</v>
      </c>
      <c r="P147" s="42">
        <v>0</v>
      </c>
      <c r="Q147" s="42">
        <v>0</v>
      </c>
      <c r="R147" s="37"/>
      <c r="S147" s="38">
        <v>25000</v>
      </c>
      <c r="T147" s="43" t="s">
        <v>46</v>
      </c>
      <c r="U147" s="39">
        <v>24925.88</v>
      </c>
      <c r="V147" s="129">
        <f t="shared" si="29"/>
        <v>-74.119999999998981</v>
      </c>
      <c r="W147" s="44">
        <v>0</v>
      </c>
      <c r="X147" s="45">
        <v>0</v>
      </c>
      <c r="Y147" s="124">
        <v>1</v>
      </c>
      <c r="Z147" s="124">
        <v>1</v>
      </c>
      <c r="AA147" s="124"/>
      <c r="AB147" s="124">
        <v>95</v>
      </c>
      <c r="AC147" s="130">
        <f t="shared" ref="AC147:AC168" si="37">IF(AA147&gt;0,AA147/1000*S147/R147,AB147)</f>
        <v>95</v>
      </c>
      <c r="AD147" s="45">
        <v>3</v>
      </c>
      <c r="AE147" s="46">
        <v>150</v>
      </c>
      <c r="AF147" s="47">
        <v>101</v>
      </c>
      <c r="AG147" s="167" t="str">
        <f t="shared" si="30"/>
        <v/>
      </c>
      <c r="AH147" s="168">
        <f t="shared" si="31"/>
        <v>-28.447255999999609</v>
      </c>
      <c r="AI147" s="168" t="str">
        <f t="shared" si="32"/>
        <v/>
      </c>
      <c r="AJ147" s="167">
        <f t="shared" si="33"/>
        <v>-42.248399999999421</v>
      </c>
      <c r="AK147" s="167">
        <f t="shared" si="34"/>
        <v>2223000</v>
      </c>
      <c r="AL147" s="167" t="str">
        <f t="shared" si="35"/>
        <v/>
      </c>
      <c r="AM147" s="167">
        <f t="shared" si="36"/>
        <v>6590.7503999999099</v>
      </c>
    </row>
    <row r="148" spans="1:39" x14ac:dyDescent="0.25">
      <c r="A148" s="128" t="s">
        <v>435</v>
      </c>
      <c r="B148" s="128" t="s">
        <v>42</v>
      </c>
      <c r="C148" s="128" t="s">
        <v>436</v>
      </c>
      <c r="D148" s="128">
        <v>1</v>
      </c>
      <c r="E148" s="128">
        <v>0</v>
      </c>
      <c r="F148" s="128">
        <v>0</v>
      </c>
      <c r="G148" s="128">
        <v>0</v>
      </c>
      <c r="H148" s="128">
        <v>0</v>
      </c>
      <c r="I148" s="128">
        <v>0</v>
      </c>
      <c r="J148" s="99" t="s">
        <v>141</v>
      </c>
      <c r="K148" s="42" t="s">
        <v>437</v>
      </c>
      <c r="L148" s="37">
        <v>4.5</v>
      </c>
      <c r="M148" s="37">
        <v>0</v>
      </c>
      <c r="N148" s="42">
        <v>0</v>
      </c>
      <c r="O148" s="42">
        <v>1</v>
      </c>
      <c r="P148" s="42">
        <v>0</v>
      </c>
      <c r="Q148" s="42">
        <v>0</v>
      </c>
      <c r="R148" s="37"/>
      <c r="S148" s="38">
        <v>600</v>
      </c>
      <c r="T148" s="43" t="s">
        <v>46</v>
      </c>
      <c r="U148" s="39">
        <v>600.41</v>
      </c>
      <c r="V148" s="25">
        <f t="shared" si="29"/>
        <v>0.40999999999996817</v>
      </c>
      <c r="W148" s="44">
        <v>0</v>
      </c>
      <c r="X148" s="45">
        <v>0</v>
      </c>
      <c r="Y148" s="124">
        <v>1</v>
      </c>
      <c r="Z148" s="124">
        <v>0</v>
      </c>
      <c r="AA148" s="124"/>
      <c r="AB148" s="124">
        <v>4.45</v>
      </c>
      <c r="AC148" s="130">
        <f t="shared" si="37"/>
        <v>4.45</v>
      </c>
      <c r="AD148" s="45">
        <v>7</v>
      </c>
      <c r="AE148" s="46">
        <v>1200</v>
      </c>
      <c r="AF148" s="47">
        <v>120</v>
      </c>
      <c r="AG148" s="167">
        <f t="shared" si="30"/>
        <v>0.36489999999997169</v>
      </c>
      <c r="AH148" s="168" t="str">
        <f t="shared" si="31"/>
        <v/>
      </c>
      <c r="AI148" s="168">
        <f t="shared" si="32"/>
        <v>3.6489999999997167</v>
      </c>
      <c r="AJ148" s="167" t="str">
        <f t="shared" si="33"/>
        <v/>
      </c>
      <c r="AK148" s="167">
        <f t="shared" si="34"/>
        <v>1943760</v>
      </c>
      <c r="AL148" s="167">
        <f t="shared" si="35"/>
        <v>1328.2359999998969</v>
      </c>
      <c r="AM148" s="167" t="str">
        <f t="shared" si="36"/>
        <v/>
      </c>
    </row>
    <row r="149" spans="1:39" x14ac:dyDescent="0.25">
      <c r="A149" s="128"/>
      <c r="B149" s="128"/>
      <c r="C149" s="128"/>
      <c r="D149" s="128">
        <v>1</v>
      </c>
      <c r="E149" s="128">
        <v>0</v>
      </c>
      <c r="F149" s="128">
        <v>0</v>
      </c>
      <c r="G149" s="128">
        <v>0</v>
      </c>
      <c r="H149" s="128">
        <v>0</v>
      </c>
      <c r="I149" s="128">
        <v>0</v>
      </c>
      <c r="J149" s="99" t="s">
        <v>142</v>
      </c>
      <c r="K149" s="42" t="s">
        <v>437</v>
      </c>
      <c r="L149" s="37">
        <v>4.5</v>
      </c>
      <c r="M149" s="37"/>
      <c r="N149" s="42">
        <v>0</v>
      </c>
      <c r="O149" s="42">
        <v>1</v>
      </c>
      <c r="P149" s="42">
        <v>0</v>
      </c>
      <c r="Q149" s="42">
        <v>0</v>
      </c>
      <c r="R149" s="37"/>
      <c r="S149" s="38">
        <v>600</v>
      </c>
      <c r="T149" s="43" t="s">
        <v>46</v>
      </c>
      <c r="U149" s="39">
        <v>635.75</v>
      </c>
      <c r="V149" s="25">
        <f t="shared" si="29"/>
        <v>35.75</v>
      </c>
      <c r="W149" s="44">
        <v>0</v>
      </c>
      <c r="X149" s="45">
        <v>0</v>
      </c>
      <c r="Y149" s="124">
        <v>1</v>
      </c>
      <c r="Z149" s="124">
        <v>0</v>
      </c>
      <c r="AA149" s="124"/>
      <c r="AB149" s="124">
        <v>5.45</v>
      </c>
      <c r="AC149" s="130">
        <f t="shared" si="37"/>
        <v>5.45</v>
      </c>
      <c r="AD149" s="45">
        <v>7</v>
      </c>
      <c r="AE149" s="46">
        <v>800</v>
      </c>
      <c r="AF149" s="47">
        <v>120</v>
      </c>
      <c r="AG149" s="167">
        <f t="shared" si="30"/>
        <v>38.967500000000001</v>
      </c>
      <c r="AH149" s="168" t="str">
        <f t="shared" si="31"/>
        <v/>
      </c>
      <c r="AI149" s="168">
        <f t="shared" si="32"/>
        <v>259.78333333333336</v>
      </c>
      <c r="AJ149" s="167" t="str">
        <f t="shared" si="33"/>
        <v/>
      </c>
      <c r="AK149" s="167">
        <f t="shared" si="34"/>
        <v>1587040</v>
      </c>
      <c r="AL149" s="167">
        <f t="shared" si="35"/>
        <v>94561.133333333346</v>
      </c>
      <c r="AM149" s="167" t="str">
        <f t="shared" si="36"/>
        <v/>
      </c>
    </row>
    <row r="150" spans="1:39" x14ac:dyDescent="0.25">
      <c r="A150" s="128" t="s">
        <v>438</v>
      </c>
      <c r="B150" s="128" t="s">
        <v>42</v>
      </c>
      <c r="C150" s="128" t="s">
        <v>439</v>
      </c>
      <c r="D150" s="128">
        <v>1</v>
      </c>
      <c r="E150" s="128">
        <v>0</v>
      </c>
      <c r="F150" s="128">
        <v>0</v>
      </c>
      <c r="G150" s="128">
        <v>0</v>
      </c>
      <c r="H150" s="128">
        <v>0</v>
      </c>
      <c r="I150" s="128">
        <v>0</v>
      </c>
      <c r="J150" s="99" t="s">
        <v>141</v>
      </c>
      <c r="K150" s="42" t="s">
        <v>437</v>
      </c>
      <c r="L150" s="37">
        <v>4.5</v>
      </c>
      <c r="M150" s="37">
        <v>0</v>
      </c>
      <c r="N150" s="42">
        <v>0</v>
      </c>
      <c r="O150" s="42">
        <v>1</v>
      </c>
      <c r="P150" s="42">
        <v>0</v>
      </c>
      <c r="Q150" s="42">
        <v>0</v>
      </c>
      <c r="R150" s="37"/>
      <c r="S150" s="38">
        <v>600</v>
      </c>
      <c r="T150" s="43" t="s">
        <v>46</v>
      </c>
      <c r="U150" s="39">
        <v>602.66999999999996</v>
      </c>
      <c r="V150" s="25">
        <f t="shared" si="29"/>
        <v>2.6699999999999591</v>
      </c>
      <c r="W150" s="44">
        <v>0</v>
      </c>
      <c r="X150" s="45">
        <v>0</v>
      </c>
      <c r="Y150" s="124">
        <v>1</v>
      </c>
      <c r="Z150" s="124">
        <v>0</v>
      </c>
      <c r="AA150" s="124"/>
      <c r="AB150" s="124">
        <v>4.5</v>
      </c>
      <c r="AC150" s="130">
        <f t="shared" si="37"/>
        <v>4.5</v>
      </c>
      <c r="AD150" s="45">
        <v>7</v>
      </c>
      <c r="AE150" s="46">
        <v>1200</v>
      </c>
      <c r="AF150" s="47">
        <v>120</v>
      </c>
      <c r="AG150" s="167">
        <f t="shared" si="30"/>
        <v>2.4029999999999632</v>
      </c>
      <c r="AH150" s="168" t="str">
        <f t="shared" si="31"/>
        <v/>
      </c>
      <c r="AI150" s="168">
        <f t="shared" si="32"/>
        <v>24.029999999999632</v>
      </c>
      <c r="AJ150" s="167" t="str">
        <f t="shared" si="33"/>
        <v/>
      </c>
      <c r="AK150" s="167">
        <f t="shared" si="34"/>
        <v>1965600</v>
      </c>
      <c r="AL150" s="167">
        <f t="shared" si="35"/>
        <v>8746.9199999998655</v>
      </c>
      <c r="AM150" s="167" t="str">
        <f t="shared" si="36"/>
        <v/>
      </c>
    </row>
    <row r="151" spans="1:39" x14ac:dyDescent="0.25">
      <c r="A151"/>
      <c r="B151" s="128"/>
      <c r="C151" s="128"/>
      <c r="D151" s="128">
        <v>1</v>
      </c>
      <c r="E151" s="128">
        <v>0</v>
      </c>
      <c r="F151" s="128">
        <v>0</v>
      </c>
      <c r="G151" s="128">
        <v>0</v>
      </c>
      <c r="H151" s="128">
        <v>0</v>
      </c>
      <c r="I151" s="128">
        <v>0</v>
      </c>
      <c r="J151" s="99" t="s">
        <v>142</v>
      </c>
      <c r="K151" s="42" t="s">
        <v>437</v>
      </c>
      <c r="L151" s="37">
        <v>4.5</v>
      </c>
      <c r="M151" s="37">
        <v>0</v>
      </c>
      <c r="N151" s="42">
        <v>0</v>
      </c>
      <c r="O151" s="42">
        <v>1</v>
      </c>
      <c r="P151" s="42">
        <v>0</v>
      </c>
      <c r="Q151" s="42">
        <v>0</v>
      </c>
      <c r="R151" s="37"/>
      <c r="S151" s="38">
        <v>600</v>
      </c>
      <c r="T151" s="43" t="s">
        <v>46</v>
      </c>
      <c r="U151" s="39">
        <v>646.97</v>
      </c>
      <c r="V151" s="25">
        <f t="shared" si="29"/>
        <v>46.970000000000027</v>
      </c>
      <c r="W151" s="44">
        <v>0</v>
      </c>
      <c r="X151" s="45">
        <v>0</v>
      </c>
      <c r="Y151" s="124">
        <v>1</v>
      </c>
      <c r="Z151" s="124">
        <v>0</v>
      </c>
      <c r="AA151" s="124"/>
      <c r="AB151" s="124">
        <v>5.5</v>
      </c>
      <c r="AC151" s="130">
        <f t="shared" si="37"/>
        <v>5.5</v>
      </c>
      <c r="AD151" s="45">
        <v>7</v>
      </c>
      <c r="AE151" s="46">
        <v>800</v>
      </c>
      <c r="AF151" s="47">
        <v>120</v>
      </c>
      <c r="AG151" s="167">
        <f t="shared" si="30"/>
        <v>51.66700000000003</v>
      </c>
      <c r="AH151" s="168" t="str">
        <f t="shared" si="31"/>
        <v/>
      </c>
      <c r="AI151" s="168">
        <f t="shared" si="32"/>
        <v>344.44666666666689</v>
      </c>
      <c r="AJ151" s="167" t="str">
        <f t="shared" si="33"/>
        <v/>
      </c>
      <c r="AK151" s="167">
        <f t="shared" si="34"/>
        <v>1601600</v>
      </c>
      <c r="AL151" s="167">
        <f t="shared" si="35"/>
        <v>125378.58666666676</v>
      </c>
      <c r="AM151" s="167" t="str">
        <f t="shared" si="36"/>
        <v/>
      </c>
    </row>
    <row r="152" spans="1:39" x14ac:dyDescent="0.25">
      <c r="A152" s="128" t="s">
        <v>440</v>
      </c>
      <c r="B152" s="128" t="s">
        <v>42</v>
      </c>
      <c r="C152" s="128" t="s">
        <v>441</v>
      </c>
      <c r="D152" s="128">
        <v>1</v>
      </c>
      <c r="E152" s="128">
        <v>0</v>
      </c>
      <c r="F152" s="128">
        <v>0</v>
      </c>
      <c r="G152" s="128">
        <v>0</v>
      </c>
      <c r="H152" s="128">
        <v>0</v>
      </c>
      <c r="I152" s="128">
        <v>0</v>
      </c>
      <c r="J152" s="99" t="s">
        <v>141</v>
      </c>
      <c r="K152" s="42" t="s">
        <v>437</v>
      </c>
      <c r="L152" s="37">
        <v>4.5</v>
      </c>
      <c r="M152" s="37">
        <v>0</v>
      </c>
      <c r="N152" s="42">
        <v>0</v>
      </c>
      <c r="O152" s="42">
        <v>1</v>
      </c>
      <c r="P152" s="42">
        <v>0</v>
      </c>
      <c r="Q152" s="42">
        <v>0</v>
      </c>
      <c r="R152" s="37"/>
      <c r="S152" s="38">
        <v>600</v>
      </c>
      <c r="T152" s="43" t="s">
        <v>46</v>
      </c>
      <c r="U152" s="39">
        <v>623.02599999999995</v>
      </c>
      <c r="V152" s="25">
        <f t="shared" si="29"/>
        <v>23.025999999999954</v>
      </c>
      <c r="W152" s="44">
        <v>0</v>
      </c>
      <c r="X152" s="45">
        <v>0</v>
      </c>
      <c r="Y152" s="124">
        <v>1</v>
      </c>
      <c r="Z152" s="124">
        <v>0</v>
      </c>
      <c r="AA152" s="124"/>
      <c r="AB152" s="124">
        <v>4.5</v>
      </c>
      <c r="AC152" s="130">
        <f t="shared" si="37"/>
        <v>4.5</v>
      </c>
      <c r="AD152" s="45">
        <v>7</v>
      </c>
      <c r="AE152" s="46">
        <v>850</v>
      </c>
      <c r="AF152" s="47">
        <v>120</v>
      </c>
      <c r="AG152" s="167">
        <f t="shared" si="30"/>
        <v>20.723399999999959</v>
      </c>
      <c r="AH152" s="168" t="str">
        <f t="shared" si="31"/>
        <v/>
      </c>
      <c r="AI152" s="168">
        <f t="shared" si="32"/>
        <v>146.79074999999972</v>
      </c>
      <c r="AJ152" s="167" t="str">
        <f t="shared" si="33"/>
        <v/>
      </c>
      <c r="AK152" s="167">
        <f t="shared" si="34"/>
        <v>1392300</v>
      </c>
      <c r="AL152" s="167">
        <f t="shared" si="35"/>
        <v>53431.832999999897</v>
      </c>
      <c r="AM152" s="167" t="str">
        <f t="shared" si="36"/>
        <v/>
      </c>
    </row>
    <row r="153" spans="1:39" x14ac:dyDescent="0.25">
      <c r="A153" s="128" t="s">
        <v>442</v>
      </c>
      <c r="B153" s="128" t="s">
        <v>42</v>
      </c>
      <c r="C153" s="128" t="s">
        <v>443</v>
      </c>
      <c r="D153" s="128">
        <v>1</v>
      </c>
      <c r="E153" s="128">
        <v>0</v>
      </c>
      <c r="F153" s="128">
        <v>0</v>
      </c>
      <c r="G153" s="128">
        <v>0</v>
      </c>
      <c r="H153" s="128">
        <v>0</v>
      </c>
      <c r="I153" s="128">
        <v>0</v>
      </c>
      <c r="J153" s="99" t="s">
        <v>141</v>
      </c>
      <c r="K153" s="42" t="s">
        <v>437</v>
      </c>
      <c r="L153" s="37">
        <v>4.5</v>
      </c>
      <c r="M153" s="37">
        <v>0</v>
      </c>
      <c r="N153" s="42">
        <v>0</v>
      </c>
      <c r="O153" s="42">
        <v>1</v>
      </c>
      <c r="P153" s="42">
        <v>0</v>
      </c>
      <c r="Q153" s="42">
        <v>0</v>
      </c>
      <c r="R153" s="37"/>
      <c r="S153" s="38">
        <v>600</v>
      </c>
      <c r="T153" s="43" t="s">
        <v>46</v>
      </c>
      <c r="U153" s="39">
        <v>628.32000000000005</v>
      </c>
      <c r="V153" s="25">
        <f t="shared" si="29"/>
        <v>28.32000000000005</v>
      </c>
      <c r="W153" s="44">
        <v>0</v>
      </c>
      <c r="X153" s="45">
        <v>0</v>
      </c>
      <c r="Y153" s="124">
        <v>1</v>
      </c>
      <c r="Z153" s="124">
        <v>0</v>
      </c>
      <c r="AA153" s="124"/>
      <c r="AB153" s="124">
        <v>4.9000000000000004</v>
      </c>
      <c r="AC153" s="130">
        <f t="shared" si="37"/>
        <v>4.9000000000000004</v>
      </c>
      <c r="AD153" s="45">
        <v>7</v>
      </c>
      <c r="AE153" s="46">
        <v>800</v>
      </c>
      <c r="AF153" s="47">
        <v>120</v>
      </c>
      <c r="AG153" s="167">
        <f t="shared" si="30"/>
        <v>27.753600000000052</v>
      </c>
      <c r="AH153" s="168" t="str">
        <f t="shared" si="31"/>
        <v/>
      </c>
      <c r="AI153" s="168">
        <f t="shared" si="32"/>
        <v>185.02400000000034</v>
      </c>
      <c r="AJ153" s="167" t="str">
        <f t="shared" si="33"/>
        <v/>
      </c>
      <c r="AK153" s="167">
        <f t="shared" si="34"/>
        <v>1426880.0000000002</v>
      </c>
      <c r="AL153" s="167">
        <f t="shared" si="35"/>
        <v>67348.736000000121</v>
      </c>
      <c r="AM153" s="167" t="str">
        <f t="shared" si="36"/>
        <v/>
      </c>
    </row>
    <row r="154" spans="1:39" x14ac:dyDescent="0.25">
      <c r="A154" s="128" t="s">
        <v>444</v>
      </c>
      <c r="B154" s="128" t="s">
        <v>42</v>
      </c>
      <c r="C154" s="128" t="s">
        <v>445</v>
      </c>
      <c r="D154" s="128">
        <v>1</v>
      </c>
      <c r="E154" s="128">
        <v>0</v>
      </c>
      <c r="F154" s="128">
        <v>0</v>
      </c>
      <c r="G154" s="128">
        <v>0</v>
      </c>
      <c r="H154" s="128">
        <v>0</v>
      </c>
      <c r="I154" s="128">
        <v>0</v>
      </c>
      <c r="J154" s="99" t="s">
        <v>142</v>
      </c>
      <c r="K154" s="42" t="s">
        <v>446</v>
      </c>
      <c r="L154" s="37">
        <v>4.5</v>
      </c>
      <c r="M154" s="37">
        <v>0</v>
      </c>
      <c r="N154" s="42">
        <v>0</v>
      </c>
      <c r="O154" s="42">
        <v>1</v>
      </c>
      <c r="P154" s="42">
        <v>0</v>
      </c>
      <c r="Q154" s="42">
        <v>0</v>
      </c>
      <c r="R154" s="37"/>
      <c r="S154" s="38">
        <v>700</v>
      </c>
      <c r="T154" s="43" t="s">
        <v>46</v>
      </c>
      <c r="U154" s="39">
        <v>720.6</v>
      </c>
      <c r="V154" s="25">
        <f t="shared" si="29"/>
        <v>20.600000000000023</v>
      </c>
      <c r="W154" s="44">
        <v>0</v>
      </c>
      <c r="X154" s="45">
        <v>0</v>
      </c>
      <c r="Y154" s="124">
        <v>1</v>
      </c>
      <c r="Z154" s="124">
        <v>0</v>
      </c>
      <c r="AA154" s="124"/>
      <c r="AB154" s="124">
        <v>7.98</v>
      </c>
      <c r="AC154" s="130">
        <f t="shared" si="37"/>
        <v>7.98</v>
      </c>
      <c r="AD154" s="45">
        <v>7</v>
      </c>
      <c r="AE154" s="46">
        <v>200</v>
      </c>
      <c r="AF154" s="47">
        <v>120</v>
      </c>
      <c r="AG154" s="167">
        <f t="shared" si="30"/>
        <v>28.180800000000033</v>
      </c>
      <c r="AH154" s="168" t="str">
        <f t="shared" si="31"/>
        <v/>
      </c>
      <c r="AI154" s="168">
        <f t="shared" si="32"/>
        <v>46.968000000000053</v>
      </c>
      <c r="AJ154" s="167" t="str">
        <f t="shared" si="33"/>
        <v/>
      </c>
      <c r="AK154" s="167">
        <f t="shared" si="34"/>
        <v>580944</v>
      </c>
      <c r="AL154" s="167">
        <f t="shared" si="35"/>
        <v>17096.352000000017</v>
      </c>
      <c r="AM154" s="167" t="str">
        <f t="shared" si="36"/>
        <v/>
      </c>
    </row>
    <row r="155" spans="1:39" x14ac:dyDescent="0.25">
      <c r="A155" s="128"/>
      <c r="B155" s="128"/>
      <c r="C155" s="128"/>
      <c r="D155" s="128">
        <v>1</v>
      </c>
      <c r="E155" s="128">
        <v>0</v>
      </c>
      <c r="F155" s="128">
        <v>0</v>
      </c>
      <c r="G155" s="128">
        <v>0</v>
      </c>
      <c r="H155" s="128">
        <v>0</v>
      </c>
      <c r="I155" s="128">
        <v>0</v>
      </c>
      <c r="J155" s="99" t="s">
        <v>141</v>
      </c>
      <c r="K155" s="42" t="s">
        <v>446</v>
      </c>
      <c r="L155" s="37">
        <v>4.5</v>
      </c>
      <c r="M155" s="37">
        <v>39</v>
      </c>
      <c r="N155" s="42">
        <v>0</v>
      </c>
      <c r="O155" s="42">
        <v>0</v>
      </c>
      <c r="P155" s="42">
        <v>0</v>
      </c>
      <c r="Q155" s="42">
        <v>0</v>
      </c>
      <c r="R155" s="37"/>
      <c r="S155" s="38">
        <v>700</v>
      </c>
      <c r="T155" s="43" t="s">
        <v>46</v>
      </c>
      <c r="U155" s="39">
        <v>718.51</v>
      </c>
      <c r="V155" s="25">
        <f t="shared" si="29"/>
        <v>18.509999999999991</v>
      </c>
      <c r="W155" s="44">
        <v>0</v>
      </c>
      <c r="X155" s="45">
        <v>0</v>
      </c>
      <c r="Y155" s="124">
        <v>1</v>
      </c>
      <c r="Z155" s="124">
        <v>0</v>
      </c>
      <c r="AA155" s="124"/>
      <c r="AB155" s="124">
        <v>6.79</v>
      </c>
      <c r="AC155" s="130">
        <f t="shared" si="37"/>
        <v>6.79</v>
      </c>
      <c r="AD155" s="45">
        <v>7</v>
      </c>
      <c r="AE155" s="46">
        <v>200</v>
      </c>
      <c r="AF155" s="47">
        <v>39</v>
      </c>
      <c r="AG155" s="167">
        <f t="shared" si="30"/>
        <v>7.0023329999999975</v>
      </c>
      <c r="AH155" s="168" t="str">
        <f t="shared" si="31"/>
        <v/>
      </c>
      <c r="AI155" s="168">
        <f t="shared" si="32"/>
        <v>35.909399999999984</v>
      </c>
      <c r="AJ155" s="167" t="str">
        <f t="shared" si="33"/>
        <v/>
      </c>
      <c r="AK155" s="167">
        <f t="shared" si="34"/>
        <v>494312</v>
      </c>
      <c r="AL155" s="167">
        <f t="shared" si="35"/>
        <v>13071.021599999995</v>
      </c>
      <c r="AM155" s="167" t="str">
        <f t="shared" si="36"/>
        <v/>
      </c>
    </row>
    <row r="156" spans="1:39" x14ac:dyDescent="0.25">
      <c r="A156" s="128" t="s">
        <v>447</v>
      </c>
      <c r="B156" s="128" t="s">
        <v>42</v>
      </c>
      <c r="C156" s="128" t="s">
        <v>448</v>
      </c>
      <c r="D156" s="128">
        <v>1</v>
      </c>
      <c r="E156" s="128">
        <v>0</v>
      </c>
      <c r="F156" s="128">
        <v>0</v>
      </c>
      <c r="G156" s="128">
        <v>0</v>
      </c>
      <c r="H156" s="128">
        <v>0</v>
      </c>
      <c r="I156" s="128">
        <v>0</v>
      </c>
      <c r="J156" s="99" t="s">
        <v>142</v>
      </c>
      <c r="K156" s="42" t="s">
        <v>437</v>
      </c>
      <c r="L156" s="37">
        <v>4.5</v>
      </c>
      <c r="M156" s="37">
        <v>0</v>
      </c>
      <c r="N156" s="42">
        <v>0</v>
      </c>
      <c r="O156" s="42">
        <v>1</v>
      </c>
      <c r="P156" s="42">
        <v>0</v>
      </c>
      <c r="Q156" s="42">
        <v>0</v>
      </c>
      <c r="R156" s="37"/>
      <c r="S156" s="38">
        <v>700</v>
      </c>
      <c r="T156" s="43" t="s">
        <v>46</v>
      </c>
      <c r="U156" s="39">
        <v>736.23</v>
      </c>
      <c r="V156" s="25">
        <f t="shared" si="29"/>
        <v>36.230000000000018</v>
      </c>
      <c r="W156" s="44">
        <v>0</v>
      </c>
      <c r="X156" s="45">
        <v>0</v>
      </c>
      <c r="Y156" s="124">
        <v>1</v>
      </c>
      <c r="Z156" s="124">
        <v>0</v>
      </c>
      <c r="AA156" s="124"/>
      <c r="AB156" s="124">
        <v>7.9</v>
      </c>
      <c r="AC156" s="130">
        <f t="shared" si="37"/>
        <v>7.9</v>
      </c>
      <c r="AD156" s="45">
        <v>7</v>
      </c>
      <c r="AE156" s="46">
        <v>300</v>
      </c>
      <c r="AF156" s="47">
        <v>120</v>
      </c>
      <c r="AG156" s="167">
        <f t="shared" si="30"/>
        <v>49.065771428571452</v>
      </c>
      <c r="AH156" s="168" t="str">
        <f t="shared" si="31"/>
        <v/>
      </c>
      <c r="AI156" s="168">
        <f t="shared" si="32"/>
        <v>122.66442857142863</v>
      </c>
      <c r="AJ156" s="167" t="str">
        <f t="shared" si="33"/>
        <v/>
      </c>
      <c r="AK156" s="167">
        <f t="shared" si="34"/>
        <v>862680</v>
      </c>
      <c r="AL156" s="167">
        <f t="shared" si="35"/>
        <v>44649.852000000021</v>
      </c>
      <c r="AM156" s="167" t="str">
        <f t="shared" si="36"/>
        <v/>
      </c>
    </row>
    <row r="157" spans="1:39" x14ac:dyDescent="0.25">
      <c r="A157" s="128" t="s">
        <v>449</v>
      </c>
      <c r="B157" s="128" t="s">
        <v>203</v>
      </c>
      <c r="C157" s="128" t="s">
        <v>450</v>
      </c>
      <c r="D157" s="128">
        <v>0</v>
      </c>
      <c r="E157" s="128">
        <v>1</v>
      </c>
      <c r="F157" s="128">
        <v>0</v>
      </c>
      <c r="G157" s="128">
        <v>0</v>
      </c>
      <c r="H157" s="128">
        <v>0</v>
      </c>
      <c r="I157" s="128">
        <v>0</v>
      </c>
      <c r="J157" s="99" t="s">
        <v>141</v>
      </c>
      <c r="K157" s="42" t="s">
        <v>451</v>
      </c>
      <c r="L157" s="37">
        <v>4.5</v>
      </c>
      <c r="M157" s="37">
        <v>0</v>
      </c>
      <c r="N157" s="42">
        <v>0</v>
      </c>
      <c r="O157" s="42">
        <v>1</v>
      </c>
      <c r="P157" s="42">
        <v>0</v>
      </c>
      <c r="Q157" s="42">
        <v>0</v>
      </c>
      <c r="R157" s="37"/>
      <c r="S157" s="38">
        <v>500</v>
      </c>
      <c r="T157" s="43" t="s">
        <v>46</v>
      </c>
      <c r="U157" s="39">
        <v>573.13599999999997</v>
      </c>
      <c r="V157" s="25">
        <f t="shared" si="29"/>
        <v>73.135999999999967</v>
      </c>
      <c r="W157" s="44">
        <v>0</v>
      </c>
      <c r="X157" s="45">
        <v>0</v>
      </c>
      <c r="Y157" s="124">
        <v>1</v>
      </c>
      <c r="Z157" s="124">
        <v>0</v>
      </c>
      <c r="AA157" s="124"/>
      <c r="AB157" s="124">
        <v>4.5</v>
      </c>
      <c r="AC157" s="130">
        <f t="shared" si="37"/>
        <v>4.5</v>
      </c>
      <c r="AD157" s="45">
        <v>7</v>
      </c>
      <c r="AE157" s="46">
        <v>300</v>
      </c>
      <c r="AF157" s="47">
        <v>120</v>
      </c>
      <c r="AG157" s="167">
        <f t="shared" si="30"/>
        <v>78.986879999999957</v>
      </c>
      <c r="AH157" s="168" t="str">
        <f t="shared" si="31"/>
        <v/>
      </c>
      <c r="AI157" s="168">
        <f t="shared" si="32"/>
        <v>197.46719999999991</v>
      </c>
      <c r="AJ157" s="167" t="str">
        <f t="shared" si="33"/>
        <v/>
      </c>
      <c r="AK157" s="167">
        <f t="shared" si="34"/>
        <v>491400</v>
      </c>
      <c r="AL157" s="167">
        <f t="shared" si="35"/>
        <v>71878.060799999977</v>
      </c>
      <c r="AM157" s="167" t="str">
        <f t="shared" si="36"/>
        <v/>
      </c>
    </row>
    <row r="158" spans="1:39" x14ac:dyDescent="0.25">
      <c r="A158" s="128" t="s">
        <v>452</v>
      </c>
      <c r="B158" s="128" t="s">
        <v>203</v>
      </c>
      <c r="C158" s="128" t="s">
        <v>453</v>
      </c>
      <c r="D158" s="128">
        <v>0</v>
      </c>
      <c r="E158" s="128">
        <v>1</v>
      </c>
      <c r="F158" s="128">
        <v>0</v>
      </c>
      <c r="G158" s="128">
        <v>0</v>
      </c>
      <c r="H158" s="128">
        <v>0</v>
      </c>
      <c r="I158" s="128">
        <v>0</v>
      </c>
      <c r="J158" s="99" t="s">
        <v>141</v>
      </c>
      <c r="K158" s="42" t="s">
        <v>454</v>
      </c>
      <c r="L158" s="37">
        <v>4.5</v>
      </c>
      <c r="M158" s="37">
        <v>0</v>
      </c>
      <c r="N158" s="42">
        <v>0</v>
      </c>
      <c r="O158" s="42">
        <v>1</v>
      </c>
      <c r="P158" s="42">
        <v>0</v>
      </c>
      <c r="Q158" s="42">
        <v>0</v>
      </c>
      <c r="R158" s="37"/>
      <c r="S158" s="38">
        <v>500</v>
      </c>
      <c r="T158" s="43" t="s">
        <v>46</v>
      </c>
      <c r="U158" s="39">
        <v>541.43600000000004</v>
      </c>
      <c r="V158" s="25">
        <f t="shared" si="29"/>
        <v>41.436000000000035</v>
      </c>
      <c r="W158" s="44">
        <v>0</v>
      </c>
      <c r="X158" s="45">
        <v>0</v>
      </c>
      <c r="Y158" s="124">
        <v>1</v>
      </c>
      <c r="Z158" s="124">
        <v>0</v>
      </c>
      <c r="AA158" s="124"/>
      <c r="AB158" s="124">
        <v>4.5</v>
      </c>
      <c r="AC158" s="130">
        <f t="shared" si="37"/>
        <v>4.5</v>
      </c>
      <c r="AD158" s="45">
        <v>7</v>
      </c>
      <c r="AE158" s="46">
        <v>250</v>
      </c>
      <c r="AF158" s="47">
        <v>120</v>
      </c>
      <c r="AG158" s="167">
        <f t="shared" si="30"/>
        <v>44.750880000000038</v>
      </c>
      <c r="AH158" s="168" t="str">
        <f t="shared" si="31"/>
        <v/>
      </c>
      <c r="AI158" s="168">
        <f t="shared" si="32"/>
        <v>93.23100000000008</v>
      </c>
      <c r="AJ158" s="167" t="str">
        <f t="shared" si="33"/>
        <v/>
      </c>
      <c r="AK158" s="167">
        <f t="shared" si="34"/>
        <v>409500</v>
      </c>
      <c r="AL158" s="167">
        <f t="shared" si="35"/>
        <v>33936.084000000024</v>
      </c>
      <c r="AM158" s="167" t="str">
        <f t="shared" si="36"/>
        <v/>
      </c>
    </row>
    <row r="159" spans="1:39" x14ac:dyDescent="0.25">
      <c r="A159" s="128" t="s">
        <v>455</v>
      </c>
      <c r="B159" s="128" t="s">
        <v>42</v>
      </c>
      <c r="C159" s="128" t="s">
        <v>456</v>
      </c>
      <c r="D159" s="128">
        <v>1</v>
      </c>
      <c r="E159" s="128">
        <v>0</v>
      </c>
      <c r="F159" s="128">
        <v>0</v>
      </c>
      <c r="G159" s="128">
        <v>0</v>
      </c>
      <c r="H159" s="128">
        <v>0</v>
      </c>
      <c r="I159" s="128">
        <v>0</v>
      </c>
      <c r="J159" s="99" t="s">
        <v>141</v>
      </c>
      <c r="K159" s="42" t="s">
        <v>446</v>
      </c>
      <c r="L159" s="37">
        <v>4.5</v>
      </c>
      <c r="M159" s="37">
        <v>0</v>
      </c>
      <c r="N159" s="42">
        <v>0</v>
      </c>
      <c r="O159" s="42">
        <v>1</v>
      </c>
      <c r="P159" s="42">
        <v>0</v>
      </c>
      <c r="Q159" s="42">
        <v>0</v>
      </c>
      <c r="R159" s="37"/>
      <c r="S159" s="38">
        <v>700</v>
      </c>
      <c r="T159" s="43" t="s">
        <v>46</v>
      </c>
      <c r="U159" s="39">
        <v>763.16</v>
      </c>
      <c r="V159" s="25">
        <f t="shared" si="29"/>
        <v>63.159999999999968</v>
      </c>
      <c r="W159" s="44">
        <v>0</v>
      </c>
      <c r="X159" s="45">
        <v>0</v>
      </c>
      <c r="Y159" s="124">
        <v>1</v>
      </c>
      <c r="Z159" s="124">
        <v>0</v>
      </c>
      <c r="AA159" s="124"/>
      <c r="AB159" s="124">
        <v>6.79</v>
      </c>
      <c r="AC159" s="130">
        <f t="shared" si="37"/>
        <v>6.79</v>
      </c>
      <c r="AD159" s="45">
        <v>7</v>
      </c>
      <c r="AE159" s="46">
        <v>1200</v>
      </c>
      <c r="AF159" s="47">
        <v>120</v>
      </c>
      <c r="AG159" s="167">
        <f t="shared" si="30"/>
        <v>73.518239999999963</v>
      </c>
      <c r="AH159" s="168" t="str">
        <f t="shared" si="31"/>
        <v/>
      </c>
      <c r="AI159" s="168">
        <f t="shared" si="32"/>
        <v>735.18239999999969</v>
      </c>
      <c r="AJ159" s="167" t="str">
        <f t="shared" si="33"/>
        <v/>
      </c>
      <c r="AK159" s="167">
        <f t="shared" si="34"/>
        <v>2965872</v>
      </c>
      <c r="AL159" s="167">
        <f t="shared" si="35"/>
        <v>267606.39359999989</v>
      </c>
      <c r="AM159" s="167" t="str">
        <f t="shared" si="36"/>
        <v/>
      </c>
    </row>
    <row r="160" spans="1:39" x14ac:dyDescent="0.25">
      <c r="A160" s="128"/>
      <c r="B160" s="128"/>
      <c r="C160" s="128"/>
      <c r="D160" s="128">
        <v>1</v>
      </c>
      <c r="E160" s="128">
        <v>0</v>
      </c>
      <c r="F160" s="128">
        <v>0</v>
      </c>
      <c r="G160" s="128">
        <v>0</v>
      </c>
      <c r="H160" s="128">
        <v>0</v>
      </c>
      <c r="I160" s="128">
        <v>0</v>
      </c>
      <c r="J160" s="99" t="s">
        <v>142</v>
      </c>
      <c r="K160" s="42" t="s">
        <v>446</v>
      </c>
      <c r="L160" s="37">
        <v>4.5</v>
      </c>
      <c r="M160" s="37">
        <v>0</v>
      </c>
      <c r="N160" s="42">
        <v>0</v>
      </c>
      <c r="O160" s="42">
        <v>1</v>
      </c>
      <c r="P160" s="42">
        <v>0</v>
      </c>
      <c r="Q160" s="42">
        <v>0</v>
      </c>
      <c r="R160" s="37"/>
      <c r="S160" s="38">
        <v>700</v>
      </c>
      <c r="T160" s="43" t="s">
        <v>46</v>
      </c>
      <c r="U160" s="39">
        <v>753.28</v>
      </c>
      <c r="V160" s="25">
        <f t="shared" si="29"/>
        <v>53.279999999999973</v>
      </c>
      <c r="W160" s="44">
        <v>0</v>
      </c>
      <c r="X160" s="45">
        <v>0</v>
      </c>
      <c r="Y160" s="124">
        <v>1</v>
      </c>
      <c r="Z160" s="124">
        <v>0</v>
      </c>
      <c r="AA160" s="124"/>
      <c r="AB160" s="124">
        <v>7.99</v>
      </c>
      <c r="AC160" s="130">
        <f t="shared" si="37"/>
        <v>7.99</v>
      </c>
      <c r="AD160" s="45">
        <v>7</v>
      </c>
      <c r="AE160" s="46">
        <v>800</v>
      </c>
      <c r="AF160" s="47">
        <v>120</v>
      </c>
      <c r="AG160" s="167">
        <f t="shared" si="30"/>
        <v>72.978377142857113</v>
      </c>
      <c r="AH160" s="168" t="str">
        <f t="shared" si="31"/>
        <v/>
      </c>
      <c r="AI160" s="168">
        <f t="shared" si="32"/>
        <v>486.52251428571407</v>
      </c>
      <c r="AJ160" s="167" t="str">
        <f t="shared" si="33"/>
        <v/>
      </c>
      <c r="AK160" s="167">
        <f t="shared" si="34"/>
        <v>2326688</v>
      </c>
      <c r="AL160" s="167">
        <f t="shared" si="35"/>
        <v>177094.19519999993</v>
      </c>
      <c r="AM160" s="167" t="str">
        <f t="shared" si="36"/>
        <v/>
      </c>
    </row>
    <row r="161" spans="1:39" x14ac:dyDescent="0.25">
      <c r="A161" s="128" t="s">
        <v>457</v>
      </c>
      <c r="B161" s="128" t="s">
        <v>203</v>
      </c>
      <c r="C161" s="128" t="s">
        <v>458</v>
      </c>
      <c r="D161" s="128">
        <v>0</v>
      </c>
      <c r="E161" s="128">
        <v>1</v>
      </c>
      <c r="F161" s="128">
        <v>0</v>
      </c>
      <c r="G161" s="128">
        <v>0</v>
      </c>
      <c r="H161" s="128">
        <v>0</v>
      </c>
      <c r="I161" s="128">
        <v>0</v>
      </c>
      <c r="J161" s="99" t="s">
        <v>141</v>
      </c>
      <c r="K161" s="42" t="s">
        <v>459</v>
      </c>
      <c r="L161" s="37">
        <v>4.5</v>
      </c>
      <c r="M161" s="37">
        <v>0</v>
      </c>
      <c r="N161" s="42">
        <v>0</v>
      </c>
      <c r="O161" s="42">
        <v>0</v>
      </c>
      <c r="P161" s="42">
        <v>1</v>
      </c>
      <c r="Q161" s="42">
        <v>0</v>
      </c>
      <c r="R161" s="37"/>
      <c r="S161" s="38">
        <v>600</v>
      </c>
      <c r="T161" s="43" t="s">
        <v>46</v>
      </c>
      <c r="U161" s="39">
        <v>623.84</v>
      </c>
      <c r="V161" s="25">
        <f t="shared" si="29"/>
        <v>23.840000000000032</v>
      </c>
      <c r="W161" s="44">
        <v>0</v>
      </c>
      <c r="X161" s="45">
        <v>0</v>
      </c>
      <c r="Y161" s="124">
        <v>1</v>
      </c>
      <c r="Z161" s="124">
        <v>0</v>
      </c>
      <c r="AA161" s="124"/>
      <c r="AB161" s="124">
        <v>4.5</v>
      </c>
      <c r="AC161" s="130">
        <f t="shared" si="37"/>
        <v>4.5</v>
      </c>
      <c r="AD161" s="45">
        <v>7</v>
      </c>
      <c r="AE161" s="46">
        <v>3600</v>
      </c>
      <c r="AF161" s="47">
        <v>2500</v>
      </c>
      <c r="AG161" s="167">
        <f t="shared" si="30"/>
        <v>447.00000000000057</v>
      </c>
      <c r="AH161" s="168" t="str">
        <f t="shared" si="31"/>
        <v/>
      </c>
      <c r="AI161" s="168">
        <f t="shared" si="32"/>
        <v>643.68000000000086</v>
      </c>
      <c r="AJ161" s="167" t="str">
        <f t="shared" si="33"/>
        <v/>
      </c>
      <c r="AK161" s="167">
        <f t="shared" si="34"/>
        <v>5896800</v>
      </c>
      <c r="AL161" s="167">
        <f t="shared" si="35"/>
        <v>234299.52000000031</v>
      </c>
      <c r="AM161" s="167" t="str">
        <f t="shared" si="36"/>
        <v/>
      </c>
    </row>
    <row r="162" spans="1:39" x14ac:dyDescent="0.25">
      <c r="A162" s="128"/>
      <c r="B162" s="128"/>
      <c r="C162" s="128"/>
      <c r="D162" s="128">
        <v>0</v>
      </c>
      <c r="E162" s="128">
        <v>1</v>
      </c>
      <c r="F162" s="128">
        <v>0</v>
      </c>
      <c r="G162" s="128">
        <v>0</v>
      </c>
      <c r="H162" s="128">
        <v>0</v>
      </c>
      <c r="I162" s="128">
        <v>0</v>
      </c>
      <c r="J162" s="99" t="s">
        <v>142</v>
      </c>
      <c r="K162" s="42" t="s">
        <v>459</v>
      </c>
      <c r="L162" s="37">
        <v>4.5</v>
      </c>
      <c r="M162" s="37">
        <v>0</v>
      </c>
      <c r="N162" s="42">
        <v>0</v>
      </c>
      <c r="O162" s="42">
        <v>0</v>
      </c>
      <c r="P162" s="42">
        <v>1</v>
      </c>
      <c r="Q162" s="42">
        <v>0</v>
      </c>
      <c r="R162" s="37"/>
      <c r="S162" s="38">
        <v>600</v>
      </c>
      <c r="T162" s="43" t="s">
        <v>46</v>
      </c>
      <c r="U162" s="39">
        <v>618.23</v>
      </c>
      <c r="V162" s="25">
        <f t="shared" si="29"/>
        <v>18.230000000000018</v>
      </c>
      <c r="W162" s="44">
        <v>0</v>
      </c>
      <c r="X162" s="45">
        <v>0</v>
      </c>
      <c r="Y162" s="124">
        <v>1</v>
      </c>
      <c r="Z162" s="124">
        <v>0</v>
      </c>
      <c r="AA162" s="124"/>
      <c r="AB162" s="124">
        <v>5</v>
      </c>
      <c r="AC162" s="130">
        <f t="shared" si="37"/>
        <v>5</v>
      </c>
      <c r="AD162" s="45">
        <v>7</v>
      </c>
      <c r="AE162" s="46">
        <v>3840</v>
      </c>
      <c r="AF162" s="47">
        <v>2800</v>
      </c>
      <c r="AG162" s="167">
        <f t="shared" si="30"/>
        <v>425.36666666666707</v>
      </c>
      <c r="AH162" s="168" t="str">
        <f t="shared" si="31"/>
        <v/>
      </c>
      <c r="AI162" s="168">
        <f t="shared" si="32"/>
        <v>583.36000000000058</v>
      </c>
      <c r="AJ162" s="167" t="str">
        <f t="shared" si="33"/>
        <v/>
      </c>
      <c r="AK162" s="167">
        <f t="shared" si="34"/>
        <v>6988800</v>
      </c>
      <c r="AL162" s="167">
        <f t="shared" si="35"/>
        <v>212343.04000000021</v>
      </c>
      <c r="AM162" s="167" t="str">
        <f t="shared" si="36"/>
        <v/>
      </c>
    </row>
    <row r="163" spans="1:39" x14ac:dyDescent="0.25">
      <c r="A163" s="128" t="s">
        <v>460</v>
      </c>
      <c r="B163" s="128" t="s">
        <v>208</v>
      </c>
      <c r="C163" s="128" t="s">
        <v>461</v>
      </c>
      <c r="D163" s="128">
        <v>1</v>
      </c>
      <c r="E163" s="128">
        <v>0</v>
      </c>
      <c r="F163" s="128">
        <v>0</v>
      </c>
      <c r="G163" s="128">
        <v>0</v>
      </c>
      <c r="H163" s="128">
        <v>0</v>
      </c>
      <c r="I163" s="128">
        <v>0</v>
      </c>
      <c r="J163" s="99" t="s">
        <v>141</v>
      </c>
      <c r="K163" s="42" t="s">
        <v>204</v>
      </c>
      <c r="L163" s="37">
        <v>4.5</v>
      </c>
      <c r="M163" s="37">
        <v>0</v>
      </c>
      <c r="N163" s="42">
        <v>0</v>
      </c>
      <c r="O163" s="42">
        <v>1</v>
      </c>
      <c r="P163" s="42">
        <v>0</v>
      </c>
      <c r="Q163" s="42">
        <v>0</v>
      </c>
      <c r="R163" s="37"/>
      <c r="S163" s="38">
        <v>600</v>
      </c>
      <c r="T163" s="43" t="s">
        <v>46</v>
      </c>
      <c r="U163" s="39">
        <v>689.92</v>
      </c>
      <c r="V163" s="25">
        <f t="shared" si="29"/>
        <v>89.919999999999959</v>
      </c>
      <c r="W163" s="44">
        <v>0</v>
      </c>
      <c r="X163" s="45">
        <v>0</v>
      </c>
      <c r="Y163" s="124">
        <v>1</v>
      </c>
      <c r="Z163" s="124">
        <v>0</v>
      </c>
      <c r="AA163" s="124"/>
      <c r="AB163" s="124">
        <v>3.99</v>
      </c>
      <c r="AC163" s="130">
        <f t="shared" si="37"/>
        <v>3.99</v>
      </c>
      <c r="AD163" s="45">
        <v>7</v>
      </c>
      <c r="AE163" s="46">
        <v>300</v>
      </c>
      <c r="AF163" s="47">
        <v>120</v>
      </c>
      <c r="AG163" s="167">
        <f t="shared" si="30"/>
        <v>71.756159999999966</v>
      </c>
      <c r="AH163" s="168" t="str">
        <f t="shared" si="31"/>
        <v/>
      </c>
      <c r="AI163" s="168">
        <f t="shared" si="32"/>
        <v>179.39039999999991</v>
      </c>
      <c r="AJ163" s="167" t="str">
        <f t="shared" si="33"/>
        <v/>
      </c>
      <c r="AK163" s="167">
        <f t="shared" si="34"/>
        <v>435708</v>
      </c>
      <c r="AL163" s="167">
        <f t="shared" si="35"/>
        <v>65298.105599999966</v>
      </c>
      <c r="AM163" s="167" t="str">
        <f t="shared" si="36"/>
        <v/>
      </c>
    </row>
    <row r="164" spans="1:39" x14ac:dyDescent="0.25">
      <c r="A164" s="128"/>
      <c r="B164" s="128"/>
      <c r="C164" s="128"/>
      <c r="D164" s="128">
        <v>1</v>
      </c>
      <c r="E164" s="128">
        <v>0</v>
      </c>
      <c r="F164" s="128">
        <v>0</v>
      </c>
      <c r="G164" s="128">
        <v>0</v>
      </c>
      <c r="H164" s="128">
        <v>0</v>
      </c>
      <c r="I164" s="128">
        <v>0</v>
      </c>
      <c r="J164" s="99" t="s">
        <v>142</v>
      </c>
      <c r="K164" s="42" t="s">
        <v>462</v>
      </c>
      <c r="L164" s="37">
        <v>4.5</v>
      </c>
      <c r="M164" s="37">
        <v>0</v>
      </c>
      <c r="N164" s="42">
        <v>0</v>
      </c>
      <c r="O164" s="42">
        <v>1</v>
      </c>
      <c r="P164" s="42">
        <v>0</v>
      </c>
      <c r="Q164" s="42">
        <v>0</v>
      </c>
      <c r="R164" s="37"/>
      <c r="S164" s="38">
        <v>600</v>
      </c>
      <c r="T164" s="43" t="s">
        <v>46</v>
      </c>
      <c r="U164" s="39">
        <v>716.64</v>
      </c>
      <c r="V164" s="25">
        <f t="shared" si="29"/>
        <v>116.63999999999999</v>
      </c>
      <c r="W164" s="44">
        <v>0</v>
      </c>
      <c r="X164" s="45">
        <v>0</v>
      </c>
      <c r="Y164" s="124">
        <v>1</v>
      </c>
      <c r="Z164" s="124">
        <v>0</v>
      </c>
      <c r="AA164" s="124"/>
      <c r="AB164" s="124">
        <v>4.2</v>
      </c>
      <c r="AC164" s="130">
        <f t="shared" si="37"/>
        <v>4.2</v>
      </c>
      <c r="AD164" s="45">
        <v>7</v>
      </c>
      <c r="AE164" s="46">
        <v>300</v>
      </c>
      <c r="AF164" s="47">
        <v>101</v>
      </c>
      <c r="AG164" s="167">
        <f t="shared" si="30"/>
        <v>82.46447999999998</v>
      </c>
      <c r="AH164" s="168" t="str">
        <f t="shared" si="31"/>
        <v/>
      </c>
      <c r="AI164" s="168">
        <f t="shared" si="32"/>
        <v>244.94399999999996</v>
      </c>
      <c r="AJ164" s="167" t="str">
        <f t="shared" si="33"/>
        <v/>
      </c>
      <c r="AK164" s="167">
        <f t="shared" si="34"/>
        <v>458640</v>
      </c>
      <c r="AL164" s="167">
        <f t="shared" si="35"/>
        <v>89159.61599999998</v>
      </c>
      <c r="AM164" s="167" t="str">
        <f t="shared" si="36"/>
        <v/>
      </c>
    </row>
    <row r="165" spans="1:39" x14ac:dyDescent="0.25">
      <c r="A165" s="128" t="s">
        <v>463</v>
      </c>
      <c r="B165" s="128" t="s">
        <v>42</v>
      </c>
      <c r="C165" s="128" t="s">
        <v>464</v>
      </c>
      <c r="D165" s="128">
        <v>1</v>
      </c>
      <c r="E165" s="128">
        <v>0</v>
      </c>
      <c r="F165" s="128">
        <v>0</v>
      </c>
      <c r="G165" s="128">
        <v>0</v>
      </c>
      <c r="H165" s="128">
        <v>0</v>
      </c>
      <c r="I165" s="128">
        <v>0</v>
      </c>
      <c r="J165" s="99" t="s">
        <v>141</v>
      </c>
      <c r="K165" s="42" t="s">
        <v>437</v>
      </c>
      <c r="L165" s="37">
        <v>4.5</v>
      </c>
      <c r="M165" s="37">
        <v>0</v>
      </c>
      <c r="N165" s="42">
        <v>0</v>
      </c>
      <c r="O165" s="42">
        <v>1</v>
      </c>
      <c r="P165" s="42">
        <v>0</v>
      </c>
      <c r="Q165" s="42">
        <v>0</v>
      </c>
      <c r="R165" s="37"/>
      <c r="S165" s="38">
        <v>700</v>
      </c>
      <c r="T165" s="43" t="s">
        <v>46</v>
      </c>
      <c r="U165" s="39">
        <v>716.72</v>
      </c>
      <c r="V165" s="25">
        <f t="shared" si="29"/>
        <v>16.720000000000027</v>
      </c>
      <c r="W165" s="44">
        <v>0</v>
      </c>
      <c r="X165" s="45">
        <v>0</v>
      </c>
      <c r="Y165" s="124">
        <v>1</v>
      </c>
      <c r="Z165" s="124">
        <v>0</v>
      </c>
      <c r="AA165" s="124"/>
      <c r="AB165" s="124">
        <v>4</v>
      </c>
      <c r="AC165" s="130">
        <f t="shared" si="37"/>
        <v>4</v>
      </c>
      <c r="AD165" s="45">
        <v>7</v>
      </c>
      <c r="AE165" s="46">
        <v>3500</v>
      </c>
      <c r="AF165" s="47">
        <v>120</v>
      </c>
      <c r="AG165" s="167">
        <f t="shared" si="30"/>
        <v>11.465142857142876</v>
      </c>
      <c r="AH165" s="168" t="str">
        <f t="shared" si="31"/>
        <v/>
      </c>
      <c r="AI165" s="168">
        <f t="shared" si="32"/>
        <v>334.40000000000055</v>
      </c>
      <c r="AJ165" s="167" t="str">
        <f t="shared" si="33"/>
        <v/>
      </c>
      <c r="AK165" s="167">
        <f t="shared" si="34"/>
        <v>5096000</v>
      </c>
      <c r="AL165" s="167">
        <f t="shared" si="35"/>
        <v>121721.60000000019</v>
      </c>
      <c r="AM165" s="167" t="str">
        <f t="shared" si="36"/>
        <v/>
      </c>
    </row>
    <row r="166" spans="1:39" x14ac:dyDescent="0.25">
      <c r="A166" s="128"/>
      <c r="B166" s="128"/>
      <c r="C166" s="128"/>
      <c r="D166" s="128">
        <v>1</v>
      </c>
      <c r="E166" s="128">
        <v>0</v>
      </c>
      <c r="F166" s="128">
        <v>0</v>
      </c>
      <c r="G166" s="128">
        <v>0</v>
      </c>
      <c r="H166" s="128">
        <v>0</v>
      </c>
      <c r="I166" s="128">
        <v>0</v>
      </c>
      <c r="J166" s="99" t="s">
        <v>142</v>
      </c>
      <c r="K166" s="42" t="s">
        <v>437</v>
      </c>
      <c r="L166" s="37">
        <v>4.5</v>
      </c>
      <c r="M166" s="37">
        <v>0</v>
      </c>
      <c r="N166" s="42">
        <v>0</v>
      </c>
      <c r="O166" s="42">
        <v>1</v>
      </c>
      <c r="P166" s="42">
        <v>0</v>
      </c>
      <c r="Q166" s="42">
        <v>0</v>
      </c>
      <c r="R166" s="37"/>
      <c r="S166" s="38">
        <v>700</v>
      </c>
      <c r="T166" s="43" t="s">
        <v>46</v>
      </c>
      <c r="U166" s="39">
        <v>727.6</v>
      </c>
      <c r="V166" s="25">
        <f t="shared" si="29"/>
        <v>27.600000000000023</v>
      </c>
      <c r="W166" s="44">
        <v>0</v>
      </c>
      <c r="X166" s="45">
        <v>0</v>
      </c>
      <c r="Y166" s="124">
        <v>1</v>
      </c>
      <c r="Z166" s="124">
        <v>0</v>
      </c>
      <c r="AA166" s="124"/>
      <c r="AB166" s="124">
        <v>4.95</v>
      </c>
      <c r="AC166" s="130">
        <f t="shared" si="37"/>
        <v>4.95</v>
      </c>
      <c r="AD166" s="45">
        <v>7</v>
      </c>
      <c r="AE166" s="46">
        <v>3500</v>
      </c>
      <c r="AF166" s="47">
        <v>120</v>
      </c>
      <c r="AG166" s="167">
        <f t="shared" si="30"/>
        <v>23.420571428571446</v>
      </c>
      <c r="AH166" s="168" t="str">
        <f t="shared" si="31"/>
        <v/>
      </c>
      <c r="AI166" s="168">
        <f t="shared" si="32"/>
        <v>683.10000000000048</v>
      </c>
      <c r="AJ166" s="167" t="str">
        <f t="shared" si="33"/>
        <v/>
      </c>
      <c r="AK166" s="167">
        <f t="shared" si="34"/>
        <v>6306300</v>
      </c>
      <c r="AL166" s="167">
        <f t="shared" si="35"/>
        <v>248648.40000000017</v>
      </c>
      <c r="AM166" s="167" t="str">
        <f t="shared" si="36"/>
        <v/>
      </c>
    </row>
    <row r="167" spans="1:39" x14ac:dyDescent="0.25">
      <c r="A167" s="128" t="s">
        <v>465</v>
      </c>
      <c r="B167" s="128" t="s">
        <v>466</v>
      </c>
      <c r="C167" s="128" t="s">
        <v>467</v>
      </c>
      <c r="D167" s="128">
        <v>1</v>
      </c>
      <c r="E167" s="128">
        <v>0</v>
      </c>
      <c r="F167" s="128">
        <v>0</v>
      </c>
      <c r="G167" s="128">
        <v>0</v>
      </c>
      <c r="H167" s="128">
        <v>0</v>
      </c>
      <c r="I167" s="128">
        <v>0</v>
      </c>
      <c r="J167" s="99" t="s">
        <v>141</v>
      </c>
      <c r="K167" s="42" t="s">
        <v>204</v>
      </c>
      <c r="L167" s="37">
        <v>4.5</v>
      </c>
      <c r="M167" s="37">
        <v>0</v>
      </c>
      <c r="N167" s="42">
        <v>0</v>
      </c>
      <c r="O167" s="42">
        <v>1</v>
      </c>
      <c r="P167" s="42">
        <v>0</v>
      </c>
      <c r="Q167" s="42">
        <v>0</v>
      </c>
      <c r="R167" s="37"/>
      <c r="S167" s="38">
        <v>600</v>
      </c>
      <c r="T167" s="43" t="s">
        <v>46</v>
      </c>
      <c r="U167" s="39">
        <v>611.84</v>
      </c>
      <c r="V167" s="25">
        <f t="shared" si="29"/>
        <v>11.840000000000032</v>
      </c>
      <c r="W167" s="44">
        <v>0</v>
      </c>
      <c r="X167" s="45">
        <v>0</v>
      </c>
      <c r="Y167" s="124">
        <v>1</v>
      </c>
      <c r="Z167" s="124">
        <v>0</v>
      </c>
      <c r="AA167" s="124"/>
      <c r="AB167" s="124">
        <v>7.5</v>
      </c>
      <c r="AC167" s="130">
        <f t="shared" si="37"/>
        <v>7.5</v>
      </c>
      <c r="AD167" s="45">
        <v>7</v>
      </c>
      <c r="AE167" s="46">
        <v>120</v>
      </c>
      <c r="AF167" s="47">
        <v>120</v>
      </c>
      <c r="AG167" s="167">
        <f t="shared" si="30"/>
        <v>17.760000000000048</v>
      </c>
      <c r="AH167" s="168" t="str">
        <f t="shared" si="31"/>
        <v/>
      </c>
      <c r="AI167" s="168">
        <f t="shared" si="32"/>
        <v>17.760000000000048</v>
      </c>
      <c r="AJ167" s="167" t="str">
        <f t="shared" si="33"/>
        <v/>
      </c>
      <c r="AK167" s="167">
        <f t="shared" si="34"/>
        <v>327600</v>
      </c>
      <c r="AL167" s="167">
        <f t="shared" si="35"/>
        <v>6464.6400000000176</v>
      </c>
      <c r="AM167" s="167" t="str">
        <f t="shared" si="36"/>
        <v/>
      </c>
    </row>
    <row r="168" spans="1:39" x14ac:dyDescent="0.25">
      <c r="A168" s="128"/>
      <c r="B168" s="128"/>
      <c r="C168" s="128"/>
      <c r="D168" s="128">
        <v>1</v>
      </c>
      <c r="E168" s="128">
        <v>0</v>
      </c>
      <c r="F168" s="128">
        <v>0</v>
      </c>
      <c r="G168" s="128">
        <v>0</v>
      </c>
      <c r="H168" s="128">
        <v>0</v>
      </c>
      <c r="I168" s="128">
        <v>0</v>
      </c>
      <c r="J168" s="99" t="s">
        <v>142</v>
      </c>
      <c r="K168" s="42" t="s">
        <v>48</v>
      </c>
      <c r="L168" s="37">
        <v>4.5</v>
      </c>
      <c r="M168" s="37">
        <v>0</v>
      </c>
      <c r="N168" s="42">
        <v>0</v>
      </c>
      <c r="O168" s="42">
        <v>1</v>
      </c>
      <c r="P168" s="42">
        <v>0</v>
      </c>
      <c r="Q168" s="42">
        <v>0</v>
      </c>
      <c r="R168" s="37"/>
      <c r="S168" s="38">
        <v>600</v>
      </c>
      <c r="T168" s="43" t="s">
        <v>46</v>
      </c>
      <c r="U168" s="39">
        <v>612.12</v>
      </c>
      <c r="V168" s="25">
        <f t="shared" si="29"/>
        <v>12.120000000000005</v>
      </c>
      <c r="W168" s="44">
        <v>0</v>
      </c>
      <c r="X168" s="45">
        <v>0</v>
      </c>
      <c r="Y168" s="124">
        <v>1</v>
      </c>
      <c r="Z168" s="124">
        <v>0</v>
      </c>
      <c r="AA168" s="124"/>
      <c r="AB168" s="124">
        <v>7.95</v>
      </c>
      <c r="AC168" s="130">
        <f t="shared" si="37"/>
        <v>7.95</v>
      </c>
      <c r="AD168" s="45">
        <v>7</v>
      </c>
      <c r="AE168" s="46">
        <v>120</v>
      </c>
      <c r="AF168" s="47">
        <v>105</v>
      </c>
      <c r="AG168" s="167">
        <f t="shared" si="30"/>
        <v>16.861950000000007</v>
      </c>
      <c r="AH168" s="168" t="str">
        <f t="shared" si="31"/>
        <v/>
      </c>
      <c r="AI168" s="168">
        <f t="shared" si="32"/>
        <v>19.270800000000008</v>
      </c>
      <c r="AJ168" s="167" t="str">
        <f t="shared" si="33"/>
        <v/>
      </c>
      <c r="AK168" s="167">
        <f t="shared" si="34"/>
        <v>347256</v>
      </c>
      <c r="AL168" s="167">
        <f t="shared" si="35"/>
        <v>7014.571200000003</v>
      </c>
      <c r="AM168" s="167" t="str">
        <f t="shared" si="36"/>
        <v/>
      </c>
    </row>
    <row r="169" spans="1:39" x14ac:dyDescent="0.25">
      <c r="A169" s="124" t="s">
        <v>468</v>
      </c>
      <c r="B169" s="124" t="s">
        <v>208</v>
      </c>
      <c r="C169" s="124" t="s">
        <v>469</v>
      </c>
      <c r="D169" s="124"/>
      <c r="E169" s="124">
        <v>1</v>
      </c>
      <c r="F169" s="124"/>
      <c r="G169" s="124"/>
      <c r="H169" s="124"/>
      <c r="I169" s="124"/>
      <c r="J169" s="99" t="s">
        <v>142</v>
      </c>
      <c r="K169" s="37"/>
      <c r="L169" s="37">
        <v>4.3</v>
      </c>
      <c r="M169" s="37">
        <v>50</v>
      </c>
      <c r="N169" s="37"/>
      <c r="O169" s="37"/>
      <c r="P169" s="37"/>
      <c r="Q169" s="37"/>
      <c r="R169" s="37"/>
      <c r="S169" s="38">
        <v>700</v>
      </c>
      <c r="T169" s="38" t="s">
        <v>46</v>
      </c>
      <c r="U169" s="39">
        <v>725.48</v>
      </c>
      <c r="V169" s="25">
        <f t="shared" si="29"/>
        <v>25.480000000000018</v>
      </c>
      <c r="W169" s="79"/>
      <c r="X169" s="40"/>
      <c r="Y169" s="124">
        <v>1</v>
      </c>
      <c r="Z169" s="124">
        <v>0</v>
      </c>
      <c r="AA169" s="124"/>
      <c r="AB169" s="124">
        <v>6.49</v>
      </c>
      <c r="AC169" s="130">
        <f>IF(AA169&gt;0,AA169/1000*S169/R169,AB169)</f>
        <v>6.49</v>
      </c>
      <c r="AD169" s="40">
        <v>7</v>
      </c>
      <c r="AE169" s="41">
        <v>200</v>
      </c>
      <c r="AF169" s="80">
        <v>109</v>
      </c>
      <c r="AG169" s="167">
        <f t="shared" si="30"/>
        <v>25.749724000000018</v>
      </c>
      <c r="AH169" s="168" t="str">
        <f t="shared" si="31"/>
        <v/>
      </c>
      <c r="AI169" s="168">
        <f t="shared" si="32"/>
        <v>47.247200000000035</v>
      </c>
      <c r="AJ169" s="167" t="str">
        <f t="shared" si="33"/>
        <v/>
      </c>
      <c r="AK169" s="167">
        <f t="shared" si="34"/>
        <v>472472</v>
      </c>
      <c r="AL169" s="167">
        <f t="shared" si="35"/>
        <v>17197.980800000012</v>
      </c>
      <c r="AM169" s="167" t="str">
        <f t="shared" si="36"/>
        <v/>
      </c>
    </row>
    <row r="170" spans="1:39" x14ac:dyDescent="0.25">
      <c r="A170" s="128"/>
      <c r="B170" s="128"/>
      <c r="C170" s="128"/>
      <c r="D170" s="128"/>
      <c r="E170" s="128">
        <v>1</v>
      </c>
      <c r="F170" s="128"/>
      <c r="G170" s="128"/>
      <c r="H170" s="124"/>
      <c r="I170" s="124"/>
      <c r="J170" s="99" t="s">
        <v>141</v>
      </c>
      <c r="K170" s="37"/>
      <c r="L170" s="37">
        <v>4.3</v>
      </c>
      <c r="M170" s="37">
        <v>50</v>
      </c>
      <c r="N170" s="42"/>
      <c r="O170" s="42"/>
      <c r="P170" s="42"/>
      <c r="Q170" s="42"/>
      <c r="R170" s="37"/>
      <c r="S170" s="38">
        <v>700</v>
      </c>
      <c r="T170" s="43" t="s">
        <v>46</v>
      </c>
      <c r="U170" s="39">
        <v>739.4</v>
      </c>
      <c r="V170" s="25">
        <f t="shared" si="29"/>
        <v>39.399999999999977</v>
      </c>
      <c r="W170" s="44"/>
      <c r="X170" s="45"/>
      <c r="Y170" s="124">
        <v>1</v>
      </c>
      <c r="Z170" s="124">
        <v>0</v>
      </c>
      <c r="AA170" s="124"/>
      <c r="AB170" s="124">
        <v>6.49</v>
      </c>
      <c r="AC170" s="130">
        <f t="shared" ref="AC170:AC214" si="38">IF(AA170&gt;0,AA170/1000*S170/R170,AB170)</f>
        <v>6.49</v>
      </c>
      <c r="AD170" s="45">
        <v>7</v>
      </c>
      <c r="AE170" s="46">
        <v>200</v>
      </c>
      <c r="AF170" s="47">
        <v>126</v>
      </c>
      <c r="AG170" s="167">
        <f t="shared" si="30"/>
        <v>46.027079999999977</v>
      </c>
      <c r="AH170" s="168" t="str">
        <f t="shared" si="31"/>
        <v/>
      </c>
      <c r="AI170" s="168">
        <f t="shared" si="32"/>
        <v>73.058857142857107</v>
      </c>
      <c r="AJ170" s="167" t="str">
        <f t="shared" si="33"/>
        <v/>
      </c>
      <c r="AK170" s="167">
        <f t="shared" si="34"/>
        <v>472472</v>
      </c>
      <c r="AL170" s="167">
        <f t="shared" si="35"/>
        <v>26593.423999999988</v>
      </c>
      <c r="AM170" s="167" t="str">
        <f t="shared" si="36"/>
        <v/>
      </c>
    </row>
    <row r="171" spans="1:39" hidden="1" x14ac:dyDescent="0.25">
      <c r="A171" s="128" t="s">
        <v>470</v>
      </c>
      <c r="B171" s="128" t="s">
        <v>209</v>
      </c>
      <c r="C171" s="128" t="s">
        <v>471</v>
      </c>
      <c r="D171" s="128"/>
      <c r="E171" s="128">
        <v>1</v>
      </c>
      <c r="F171" s="128"/>
      <c r="G171" s="128"/>
      <c r="H171" s="128"/>
      <c r="I171" s="128"/>
      <c r="J171" s="99" t="s">
        <v>170</v>
      </c>
      <c r="K171" s="42" t="s">
        <v>472</v>
      </c>
      <c r="L171" s="37">
        <v>4.3</v>
      </c>
      <c r="M171" s="37">
        <v>11</v>
      </c>
      <c r="N171" s="42"/>
      <c r="O171" s="42"/>
      <c r="P171" s="42"/>
      <c r="Q171" s="42"/>
      <c r="R171" s="37"/>
      <c r="S171" s="38">
        <v>11478</v>
      </c>
      <c r="T171" s="43" t="s">
        <v>46</v>
      </c>
      <c r="U171" s="39">
        <v>11480</v>
      </c>
      <c r="V171" s="125">
        <f t="shared" si="29"/>
        <v>2</v>
      </c>
      <c r="W171" s="44"/>
      <c r="X171" s="45"/>
      <c r="Y171" s="124">
        <v>1</v>
      </c>
      <c r="Z171" s="124"/>
      <c r="AA171" s="124"/>
      <c r="AB171" s="124">
        <v>72.989999999999995</v>
      </c>
      <c r="AC171" s="130">
        <f t="shared" si="38"/>
        <v>72.989999999999995</v>
      </c>
      <c r="AD171" s="45">
        <v>7</v>
      </c>
      <c r="AE171" s="46">
        <v>25</v>
      </c>
      <c r="AF171" s="47">
        <v>11</v>
      </c>
      <c r="AG171" s="167">
        <f t="shared" si="30"/>
        <v>0.1399006795608991</v>
      </c>
      <c r="AH171" s="168" t="str">
        <f t="shared" si="31"/>
        <v/>
      </c>
      <c r="AI171" s="168">
        <f t="shared" si="32"/>
        <v>0.31795608991113433</v>
      </c>
      <c r="AJ171" s="167" t="str">
        <f t="shared" si="33"/>
        <v/>
      </c>
      <c r="AK171" s="167">
        <f t="shared" si="34"/>
        <v>664208.99999999988</v>
      </c>
      <c r="AL171" s="167">
        <f t="shared" si="35"/>
        <v>115.7360167276529</v>
      </c>
      <c r="AM171" s="167" t="str">
        <f t="shared" si="36"/>
        <v/>
      </c>
    </row>
    <row r="172" spans="1:39" hidden="1" x14ac:dyDescent="0.25">
      <c r="A172" s="128"/>
      <c r="B172" s="128"/>
      <c r="C172" s="128"/>
      <c r="D172" s="128"/>
      <c r="E172" s="128">
        <v>1</v>
      </c>
      <c r="F172" s="128"/>
      <c r="G172" s="128"/>
      <c r="H172" s="128"/>
      <c r="I172" s="128"/>
      <c r="J172" s="99" t="s">
        <v>166</v>
      </c>
      <c r="K172" s="42" t="s">
        <v>473</v>
      </c>
      <c r="L172" s="37">
        <v>4.3</v>
      </c>
      <c r="M172" s="37">
        <v>13</v>
      </c>
      <c r="N172" s="42"/>
      <c r="O172" s="42"/>
      <c r="P172" s="42"/>
      <c r="Q172" s="42"/>
      <c r="R172" s="37"/>
      <c r="S172" s="38">
        <v>8104</v>
      </c>
      <c r="T172" s="43" t="s">
        <v>46</v>
      </c>
      <c r="U172" s="39">
        <v>8112</v>
      </c>
      <c r="V172" s="125">
        <f t="shared" si="29"/>
        <v>8</v>
      </c>
      <c r="W172" s="44"/>
      <c r="X172" s="45"/>
      <c r="Y172" s="124">
        <v>1</v>
      </c>
      <c r="Z172" s="124"/>
      <c r="AA172" s="124"/>
      <c r="AB172" s="124">
        <v>55.99</v>
      </c>
      <c r="AC172" s="130">
        <f t="shared" si="38"/>
        <v>55.99</v>
      </c>
      <c r="AD172" s="45">
        <v>7</v>
      </c>
      <c r="AE172" s="46">
        <v>20</v>
      </c>
      <c r="AF172" s="47">
        <v>13</v>
      </c>
      <c r="AG172" s="167">
        <f t="shared" si="30"/>
        <v>0.71852912142152026</v>
      </c>
      <c r="AH172" s="168" t="str">
        <f t="shared" si="31"/>
        <v/>
      </c>
      <c r="AI172" s="168">
        <f t="shared" si="32"/>
        <v>1.1054294175715698</v>
      </c>
      <c r="AJ172" s="167" t="str">
        <f t="shared" si="33"/>
        <v/>
      </c>
      <c r="AK172" s="167">
        <f t="shared" si="34"/>
        <v>407607.19999999995</v>
      </c>
      <c r="AL172" s="167">
        <f t="shared" si="35"/>
        <v>402.37630799605142</v>
      </c>
      <c r="AM172" s="167" t="str">
        <f t="shared" si="36"/>
        <v/>
      </c>
    </row>
    <row r="173" spans="1:39" hidden="1" x14ac:dyDescent="0.25">
      <c r="A173" s="128"/>
      <c r="B173" s="128"/>
      <c r="C173" s="128"/>
      <c r="D173" s="128"/>
      <c r="E173" s="128">
        <v>1</v>
      </c>
      <c r="F173" s="128"/>
      <c r="G173" s="128"/>
      <c r="H173" s="128"/>
      <c r="I173" s="128"/>
      <c r="J173" s="99" t="s">
        <v>168</v>
      </c>
      <c r="K173" s="42" t="s">
        <v>474</v>
      </c>
      <c r="L173" s="37">
        <v>4.3</v>
      </c>
      <c r="M173" s="37">
        <v>9</v>
      </c>
      <c r="N173" s="42"/>
      <c r="O173" s="42"/>
      <c r="P173" s="42"/>
      <c r="Q173" s="42"/>
      <c r="R173" s="37"/>
      <c r="S173" s="38">
        <v>8488</v>
      </c>
      <c r="T173" s="43" t="s">
        <v>46</v>
      </c>
      <c r="U173" s="39">
        <v>8492</v>
      </c>
      <c r="V173" s="125">
        <f t="shared" si="29"/>
        <v>4</v>
      </c>
      <c r="W173" s="44"/>
      <c r="X173" s="45"/>
      <c r="Y173" s="124">
        <v>1</v>
      </c>
      <c r="Z173" s="124"/>
      <c r="AA173" s="124"/>
      <c r="AB173" s="124">
        <v>96.99</v>
      </c>
      <c r="AC173" s="130">
        <f t="shared" si="38"/>
        <v>96.99</v>
      </c>
      <c r="AD173" s="45">
        <v>7</v>
      </c>
      <c r="AE173" s="46">
        <v>20</v>
      </c>
      <c r="AF173" s="47">
        <v>9</v>
      </c>
      <c r="AG173" s="167">
        <f t="shared" si="30"/>
        <v>0.41136192271442035</v>
      </c>
      <c r="AH173" s="168" t="str">
        <f t="shared" si="31"/>
        <v/>
      </c>
      <c r="AI173" s="168">
        <f t="shared" si="32"/>
        <v>0.91413760603204519</v>
      </c>
      <c r="AJ173" s="167" t="str">
        <f t="shared" si="33"/>
        <v/>
      </c>
      <c r="AK173" s="167">
        <f t="shared" si="34"/>
        <v>706087.20000000007</v>
      </c>
      <c r="AL173" s="167">
        <f t="shared" si="35"/>
        <v>332.74608859566445</v>
      </c>
      <c r="AM173" s="167" t="str">
        <f t="shared" si="36"/>
        <v/>
      </c>
    </row>
    <row r="174" spans="1:39" hidden="1" x14ac:dyDescent="0.25">
      <c r="A174" s="128"/>
      <c r="B174" s="128"/>
      <c r="C174" s="128"/>
      <c r="D174" s="128"/>
      <c r="E174" s="128">
        <v>1</v>
      </c>
      <c r="F174" s="128"/>
      <c r="G174" s="128"/>
      <c r="H174" s="128"/>
      <c r="I174" s="128"/>
      <c r="J174" s="99" t="s">
        <v>166</v>
      </c>
      <c r="K174" s="42" t="s">
        <v>475</v>
      </c>
      <c r="L174" s="37">
        <v>4.3</v>
      </c>
      <c r="M174" s="37">
        <v>15</v>
      </c>
      <c r="N174" s="42"/>
      <c r="O174" s="42"/>
      <c r="P174" s="42"/>
      <c r="Q174" s="42"/>
      <c r="R174" s="37"/>
      <c r="S174" s="38">
        <v>7520</v>
      </c>
      <c r="T174" s="43" t="s">
        <v>46</v>
      </c>
      <c r="U174" s="39">
        <v>7526</v>
      </c>
      <c r="V174" s="125">
        <f t="shared" si="29"/>
        <v>6</v>
      </c>
      <c r="W174" s="44"/>
      <c r="X174" s="45"/>
      <c r="Y174" s="124">
        <v>1</v>
      </c>
      <c r="Z174" s="124"/>
      <c r="AA174" s="124"/>
      <c r="AB174" s="124">
        <v>95.99</v>
      </c>
      <c r="AC174" s="130">
        <f t="shared" si="38"/>
        <v>95.99</v>
      </c>
      <c r="AD174" s="45">
        <v>7</v>
      </c>
      <c r="AE174" s="46">
        <v>20</v>
      </c>
      <c r="AF174" s="47">
        <v>15</v>
      </c>
      <c r="AG174" s="167">
        <f t="shared" si="30"/>
        <v>1.1488164893617021</v>
      </c>
      <c r="AH174" s="168" t="str">
        <f t="shared" si="31"/>
        <v/>
      </c>
      <c r="AI174" s="168">
        <f t="shared" si="32"/>
        <v>1.5317553191489361</v>
      </c>
      <c r="AJ174" s="167" t="str">
        <f t="shared" si="33"/>
        <v/>
      </c>
      <c r="AK174" s="167">
        <f t="shared" si="34"/>
        <v>698807.20000000007</v>
      </c>
      <c r="AL174" s="167">
        <f t="shared" si="35"/>
        <v>557.55893617021275</v>
      </c>
      <c r="AM174" s="167" t="str">
        <f t="shared" si="36"/>
        <v/>
      </c>
    </row>
    <row r="175" spans="1:39" x14ac:dyDescent="0.25">
      <c r="A175" s="128" t="s">
        <v>476</v>
      </c>
      <c r="B175" s="128" t="s">
        <v>208</v>
      </c>
      <c r="C175" s="128" t="s">
        <v>477</v>
      </c>
      <c r="D175" s="128"/>
      <c r="E175" s="128">
        <v>1</v>
      </c>
      <c r="F175" s="128"/>
      <c r="G175" s="128"/>
      <c r="H175" s="128"/>
      <c r="I175" s="128"/>
      <c r="J175" s="99" t="s">
        <v>141</v>
      </c>
      <c r="K175" s="42"/>
      <c r="L175" s="37">
        <v>4.3</v>
      </c>
      <c r="M175" s="37">
        <v>43</v>
      </c>
      <c r="N175" s="42"/>
      <c r="O175" s="42"/>
      <c r="P175" s="42"/>
      <c r="Q175" s="42"/>
      <c r="R175" s="37"/>
      <c r="S175" s="38">
        <v>600</v>
      </c>
      <c r="T175" s="43" t="s">
        <v>46</v>
      </c>
      <c r="U175" s="39">
        <v>626.28</v>
      </c>
      <c r="V175" s="25">
        <f t="shared" si="29"/>
        <v>26.279999999999973</v>
      </c>
      <c r="W175" s="44"/>
      <c r="X175" s="45"/>
      <c r="Y175" s="124">
        <v>1</v>
      </c>
      <c r="Z175" s="124"/>
      <c r="AA175" s="124"/>
      <c r="AB175" s="124">
        <v>5.99</v>
      </c>
      <c r="AC175" s="130">
        <f t="shared" si="38"/>
        <v>5.99</v>
      </c>
      <c r="AD175" s="45">
        <v>7</v>
      </c>
      <c r="AE175" s="46">
        <v>150</v>
      </c>
      <c r="AF175" s="47">
        <v>43</v>
      </c>
      <c r="AG175" s="167">
        <f t="shared" si="30"/>
        <v>11.281565999999989</v>
      </c>
      <c r="AH175" s="168" t="str">
        <f t="shared" si="31"/>
        <v/>
      </c>
      <c r="AI175" s="168">
        <f t="shared" si="32"/>
        <v>39.354299999999967</v>
      </c>
      <c r="AJ175" s="167" t="str">
        <f t="shared" si="33"/>
        <v/>
      </c>
      <c r="AK175" s="167">
        <f t="shared" si="34"/>
        <v>327054</v>
      </c>
      <c r="AL175" s="167">
        <f t="shared" si="35"/>
        <v>14324.965199999988</v>
      </c>
      <c r="AM175" s="167" t="str">
        <f t="shared" si="36"/>
        <v/>
      </c>
    </row>
    <row r="176" spans="1:39" x14ac:dyDescent="0.25">
      <c r="A176" s="128"/>
      <c r="B176" s="128"/>
      <c r="C176" s="128"/>
      <c r="D176" s="128"/>
      <c r="E176" s="128">
        <v>1</v>
      </c>
      <c r="F176" s="128"/>
      <c r="G176" s="128"/>
      <c r="H176" s="128"/>
      <c r="I176" s="128"/>
      <c r="J176" s="99" t="s">
        <v>142</v>
      </c>
      <c r="K176" s="42"/>
      <c r="L176" s="37">
        <v>4.3</v>
      </c>
      <c r="M176" s="37">
        <v>50</v>
      </c>
      <c r="N176" s="42"/>
      <c r="O176" s="42"/>
      <c r="P176" s="42"/>
      <c r="Q176" s="42"/>
      <c r="R176" s="37"/>
      <c r="S176" s="38">
        <v>600</v>
      </c>
      <c r="T176" s="43" t="s">
        <v>46</v>
      </c>
      <c r="U176" s="39">
        <v>632.04</v>
      </c>
      <c r="V176" s="25">
        <f t="shared" si="29"/>
        <v>32.039999999999964</v>
      </c>
      <c r="W176" s="44"/>
      <c r="X176" s="45"/>
      <c r="Y176" s="124">
        <v>1</v>
      </c>
      <c r="Z176" s="124"/>
      <c r="AA176" s="124"/>
      <c r="AB176" s="124">
        <v>6.49</v>
      </c>
      <c r="AC176" s="130">
        <f t="shared" si="38"/>
        <v>6.49</v>
      </c>
      <c r="AD176" s="45">
        <v>7</v>
      </c>
      <c r="AE176" s="46">
        <v>150</v>
      </c>
      <c r="AF176" s="47">
        <v>118</v>
      </c>
      <c r="AG176" s="167">
        <f t="shared" si="30"/>
        <v>40.894787999999956</v>
      </c>
      <c r="AH176" s="168" t="str">
        <f t="shared" si="31"/>
        <v/>
      </c>
      <c r="AI176" s="168">
        <f t="shared" si="32"/>
        <v>51.984899999999939</v>
      </c>
      <c r="AJ176" s="167" t="str">
        <f t="shared" si="33"/>
        <v/>
      </c>
      <c r="AK176" s="167">
        <f t="shared" si="34"/>
        <v>354354</v>
      </c>
      <c r="AL176" s="167">
        <f t="shared" si="35"/>
        <v>18922.503599999978</v>
      </c>
      <c r="AM176" s="167" t="str">
        <f t="shared" si="36"/>
        <v/>
      </c>
    </row>
    <row r="177" spans="1:39" hidden="1" x14ac:dyDescent="0.25">
      <c r="A177" s="128" t="s">
        <v>478</v>
      </c>
      <c r="B177" s="128" t="s">
        <v>209</v>
      </c>
      <c r="C177" s="128" t="s">
        <v>479</v>
      </c>
      <c r="D177" s="128"/>
      <c r="E177" s="128">
        <v>1</v>
      </c>
      <c r="F177" s="128"/>
      <c r="G177" s="128"/>
      <c r="H177" s="128"/>
      <c r="I177" s="128"/>
      <c r="J177" s="99" t="s">
        <v>166</v>
      </c>
      <c r="K177" s="42" t="s">
        <v>480</v>
      </c>
      <c r="L177" s="37">
        <v>4.3</v>
      </c>
      <c r="M177" s="37">
        <v>12</v>
      </c>
      <c r="N177" s="42"/>
      <c r="O177" s="42"/>
      <c r="P177" s="42"/>
      <c r="Q177" s="42"/>
      <c r="R177" s="37"/>
      <c r="S177" s="38">
        <v>8712</v>
      </c>
      <c r="T177" s="43" t="s">
        <v>46</v>
      </c>
      <c r="U177" s="39">
        <v>8726</v>
      </c>
      <c r="V177" s="125">
        <f t="shared" si="29"/>
        <v>14</v>
      </c>
      <c r="W177" s="44"/>
      <c r="X177" s="45"/>
      <c r="Y177" s="124">
        <v>1</v>
      </c>
      <c r="Z177" s="124"/>
      <c r="AA177" s="124"/>
      <c r="AB177" s="124">
        <v>54.99</v>
      </c>
      <c r="AC177" s="130">
        <f t="shared" si="38"/>
        <v>54.99</v>
      </c>
      <c r="AD177" s="45">
        <v>7</v>
      </c>
      <c r="AE177" s="46">
        <v>20</v>
      </c>
      <c r="AF177" s="47">
        <v>12</v>
      </c>
      <c r="AG177" s="167">
        <f t="shared" si="30"/>
        <v>1.0604132231404959</v>
      </c>
      <c r="AH177" s="168" t="str">
        <f t="shared" si="31"/>
        <v/>
      </c>
      <c r="AI177" s="168">
        <f t="shared" si="32"/>
        <v>1.7673553719008264</v>
      </c>
      <c r="AJ177" s="167" t="str">
        <f t="shared" si="33"/>
        <v/>
      </c>
      <c r="AK177" s="167">
        <f t="shared" si="34"/>
        <v>400327.19999999995</v>
      </c>
      <c r="AL177" s="167">
        <f t="shared" si="35"/>
        <v>643.31735537190082</v>
      </c>
      <c r="AM177" s="167" t="str">
        <f t="shared" si="36"/>
        <v/>
      </c>
    </row>
    <row r="178" spans="1:39" hidden="1" x14ac:dyDescent="0.25">
      <c r="A178" s="128"/>
      <c r="B178" s="128"/>
      <c r="C178" s="128"/>
      <c r="D178" s="128"/>
      <c r="E178" s="128">
        <v>1</v>
      </c>
      <c r="F178" s="128"/>
      <c r="G178" s="128"/>
      <c r="H178" s="128"/>
      <c r="I178" s="128"/>
      <c r="J178" s="99" t="s">
        <v>102</v>
      </c>
      <c r="K178" s="42" t="s">
        <v>481</v>
      </c>
      <c r="L178" s="37">
        <v>4.3</v>
      </c>
      <c r="M178" s="37">
        <v>9</v>
      </c>
      <c r="N178" s="42"/>
      <c r="O178" s="42"/>
      <c r="P178" s="42"/>
      <c r="Q178" s="42"/>
      <c r="R178" s="37"/>
      <c r="S178" s="38">
        <v>3312</v>
      </c>
      <c r="T178" s="43" t="s">
        <v>46</v>
      </c>
      <c r="U178" s="39">
        <v>3318</v>
      </c>
      <c r="V178" s="125">
        <f t="shared" si="29"/>
        <v>6</v>
      </c>
      <c r="W178" s="44"/>
      <c r="X178" s="45"/>
      <c r="Y178" s="124">
        <v>1</v>
      </c>
      <c r="Z178" s="124"/>
      <c r="AA178" s="124"/>
      <c r="AB178" s="124">
        <v>58.99</v>
      </c>
      <c r="AC178" s="130">
        <f t="shared" si="38"/>
        <v>58.99</v>
      </c>
      <c r="AD178" s="45">
        <v>7</v>
      </c>
      <c r="AE178" s="46">
        <v>15</v>
      </c>
      <c r="AF178" s="47">
        <v>9</v>
      </c>
      <c r="AG178" s="167">
        <f t="shared" si="30"/>
        <v>0.96179347826086958</v>
      </c>
      <c r="AH178" s="168" t="str">
        <f t="shared" si="31"/>
        <v/>
      </c>
      <c r="AI178" s="168">
        <f t="shared" si="32"/>
        <v>1.6029891304347827</v>
      </c>
      <c r="AJ178" s="167" t="str">
        <f t="shared" si="33"/>
        <v/>
      </c>
      <c r="AK178" s="167">
        <f t="shared" si="34"/>
        <v>322085.39999999997</v>
      </c>
      <c r="AL178" s="167">
        <f t="shared" si="35"/>
        <v>583.48804347826092</v>
      </c>
      <c r="AM178" s="167" t="str">
        <f t="shared" si="36"/>
        <v/>
      </c>
    </row>
    <row r="179" spans="1:39" hidden="1" x14ac:dyDescent="0.25">
      <c r="A179" s="128"/>
      <c r="B179" s="128"/>
      <c r="C179" s="128"/>
      <c r="D179" s="128"/>
      <c r="E179" s="128">
        <v>1</v>
      </c>
      <c r="F179" s="128"/>
      <c r="G179" s="128"/>
      <c r="H179" s="128"/>
      <c r="I179" s="128"/>
      <c r="J179" s="99" t="s">
        <v>166</v>
      </c>
      <c r="K179" s="42" t="s">
        <v>482</v>
      </c>
      <c r="L179" s="37">
        <v>4.3</v>
      </c>
      <c r="M179" s="37">
        <v>12</v>
      </c>
      <c r="N179" s="42"/>
      <c r="O179" s="42"/>
      <c r="P179" s="42"/>
      <c r="Q179" s="42"/>
      <c r="R179" s="37"/>
      <c r="S179" s="38">
        <v>11344</v>
      </c>
      <c r="T179" s="43" t="s">
        <v>46</v>
      </c>
      <c r="U179" s="39">
        <v>11356</v>
      </c>
      <c r="V179" s="125">
        <f t="shared" si="29"/>
        <v>12</v>
      </c>
      <c r="W179" s="44"/>
      <c r="X179" s="45"/>
      <c r="Y179" s="124">
        <v>1</v>
      </c>
      <c r="Z179" s="124"/>
      <c r="AA179" s="124"/>
      <c r="AB179" s="124">
        <v>58.99</v>
      </c>
      <c r="AC179" s="130">
        <f t="shared" si="38"/>
        <v>58.99</v>
      </c>
      <c r="AD179" s="45">
        <v>7</v>
      </c>
      <c r="AE179" s="46">
        <v>15</v>
      </c>
      <c r="AF179" s="47">
        <v>12</v>
      </c>
      <c r="AG179" s="167">
        <f t="shared" si="30"/>
        <v>0.7488152327221439</v>
      </c>
      <c r="AH179" s="168" t="str">
        <f t="shared" si="31"/>
        <v/>
      </c>
      <c r="AI179" s="168">
        <f t="shared" si="32"/>
        <v>0.93601904090267984</v>
      </c>
      <c r="AJ179" s="167" t="str">
        <f t="shared" si="33"/>
        <v/>
      </c>
      <c r="AK179" s="167">
        <f t="shared" si="34"/>
        <v>322085.39999999997</v>
      </c>
      <c r="AL179" s="167">
        <f t="shared" si="35"/>
        <v>340.71093088857543</v>
      </c>
      <c r="AM179" s="167" t="str">
        <f t="shared" si="36"/>
        <v/>
      </c>
    </row>
    <row r="180" spans="1:39" hidden="1" x14ac:dyDescent="0.25">
      <c r="A180" s="128"/>
      <c r="B180" s="128"/>
      <c r="C180" s="128"/>
      <c r="D180" s="128"/>
      <c r="E180" s="128">
        <v>1</v>
      </c>
      <c r="F180" s="128"/>
      <c r="G180" s="128"/>
      <c r="H180" s="128"/>
      <c r="I180" s="128"/>
      <c r="J180" s="99" t="s">
        <v>166</v>
      </c>
      <c r="K180" s="42" t="s">
        <v>473</v>
      </c>
      <c r="L180" s="37">
        <v>4.3</v>
      </c>
      <c r="M180" s="37">
        <v>11</v>
      </c>
      <c r="N180" s="42"/>
      <c r="O180" s="42"/>
      <c r="P180" s="42"/>
      <c r="Q180" s="42"/>
      <c r="R180" s="37"/>
      <c r="S180" s="38">
        <v>6140</v>
      </c>
      <c r="T180" s="43" t="s">
        <v>46</v>
      </c>
      <c r="U180" s="39">
        <v>6144</v>
      </c>
      <c r="V180" s="125">
        <f t="shared" si="29"/>
        <v>4</v>
      </c>
      <c r="W180" s="44"/>
      <c r="X180" s="45"/>
      <c r="Y180" s="124">
        <v>1</v>
      </c>
      <c r="Z180" s="124"/>
      <c r="AA180" s="124"/>
      <c r="AB180" s="124">
        <v>55.99</v>
      </c>
      <c r="AC180" s="130">
        <f t="shared" si="38"/>
        <v>55.99</v>
      </c>
      <c r="AD180" s="45">
        <v>7</v>
      </c>
      <c r="AE180" s="46">
        <v>15</v>
      </c>
      <c r="AF180" s="47">
        <v>11</v>
      </c>
      <c r="AG180" s="167">
        <f t="shared" si="30"/>
        <v>0.40123127035830619</v>
      </c>
      <c r="AH180" s="168" t="str">
        <f t="shared" si="31"/>
        <v/>
      </c>
      <c r="AI180" s="168">
        <f t="shared" si="32"/>
        <v>0.54713355048859935</v>
      </c>
      <c r="AJ180" s="167" t="str">
        <f t="shared" si="33"/>
        <v/>
      </c>
      <c r="AK180" s="167">
        <f t="shared" si="34"/>
        <v>305705.39999999997</v>
      </c>
      <c r="AL180" s="167">
        <f t="shared" si="35"/>
        <v>199.15661237785017</v>
      </c>
      <c r="AM180" s="167" t="str">
        <f t="shared" si="36"/>
        <v/>
      </c>
    </row>
    <row r="181" spans="1:39" x14ac:dyDescent="0.25">
      <c r="A181" s="128" t="s">
        <v>483</v>
      </c>
      <c r="B181" s="128" t="s">
        <v>208</v>
      </c>
      <c r="C181" s="128" t="s">
        <v>484</v>
      </c>
      <c r="D181" s="128"/>
      <c r="E181" s="128">
        <v>1</v>
      </c>
      <c r="F181" s="128"/>
      <c r="G181" s="128"/>
      <c r="H181" s="128"/>
      <c r="I181" s="128"/>
      <c r="J181" s="99" t="s">
        <v>142</v>
      </c>
      <c r="K181" s="42"/>
      <c r="L181" s="37">
        <v>4.3</v>
      </c>
      <c r="M181" s="37">
        <v>47</v>
      </c>
      <c r="N181" s="42"/>
      <c r="O181" s="42"/>
      <c r="P181" s="42"/>
      <c r="Q181" s="42"/>
      <c r="R181" s="37"/>
      <c r="S181" s="38">
        <v>700</v>
      </c>
      <c r="T181" s="43" t="s">
        <v>46</v>
      </c>
      <c r="U181" s="39">
        <v>708.3</v>
      </c>
      <c r="V181" s="25">
        <f t="shared" si="29"/>
        <v>8.2999999999999545</v>
      </c>
      <c r="W181" s="44"/>
      <c r="X181" s="45"/>
      <c r="Y181" s="124">
        <v>1</v>
      </c>
      <c r="Z181" s="124"/>
      <c r="AA181" s="124"/>
      <c r="AB181" s="124">
        <v>6.49</v>
      </c>
      <c r="AC181" s="130">
        <f t="shared" si="38"/>
        <v>6.49</v>
      </c>
      <c r="AD181" s="45">
        <v>7</v>
      </c>
      <c r="AE181" s="46">
        <v>180</v>
      </c>
      <c r="AF181" s="47">
        <v>47</v>
      </c>
      <c r="AG181" s="167">
        <f t="shared" si="30"/>
        <v>3.6167842857142656</v>
      </c>
      <c r="AH181" s="168" t="str">
        <f t="shared" si="31"/>
        <v/>
      </c>
      <c r="AI181" s="168">
        <f t="shared" si="32"/>
        <v>13.851514285714208</v>
      </c>
      <c r="AJ181" s="167" t="str">
        <f t="shared" si="33"/>
        <v/>
      </c>
      <c r="AK181" s="167">
        <f t="shared" si="34"/>
        <v>425224.80000000005</v>
      </c>
      <c r="AL181" s="167">
        <f t="shared" si="35"/>
        <v>5041.9511999999722</v>
      </c>
      <c r="AM181" s="167" t="str">
        <f t="shared" si="36"/>
        <v/>
      </c>
    </row>
    <row r="182" spans="1:39" x14ac:dyDescent="0.25">
      <c r="A182" s="128"/>
      <c r="B182" s="128"/>
      <c r="C182" s="128"/>
      <c r="D182" s="128"/>
      <c r="E182" s="128">
        <v>1</v>
      </c>
      <c r="F182" s="128"/>
      <c r="G182" s="128"/>
      <c r="H182" s="128"/>
      <c r="I182" s="128"/>
      <c r="J182" s="99" t="s">
        <v>141</v>
      </c>
      <c r="K182" s="42"/>
      <c r="L182" s="37">
        <v>4.3</v>
      </c>
      <c r="M182" s="37">
        <v>32</v>
      </c>
      <c r="N182" s="42"/>
      <c r="O182" s="42"/>
      <c r="P182" s="42"/>
      <c r="Q182" s="42"/>
      <c r="R182" s="37"/>
      <c r="S182" s="38">
        <v>700</v>
      </c>
      <c r="T182" s="43" t="s">
        <v>46</v>
      </c>
      <c r="U182" s="39">
        <v>718.94</v>
      </c>
      <c r="V182" s="25">
        <f t="shared" si="29"/>
        <v>18.940000000000055</v>
      </c>
      <c r="W182" s="44"/>
      <c r="X182" s="45"/>
      <c r="Y182" s="124">
        <v>1</v>
      </c>
      <c r="Z182" s="124"/>
      <c r="AA182" s="124"/>
      <c r="AB182" s="124">
        <v>6.49</v>
      </c>
      <c r="AC182" s="130">
        <f t="shared" si="38"/>
        <v>6.49</v>
      </c>
      <c r="AD182" s="45">
        <v>7</v>
      </c>
      <c r="AE182" s="46">
        <v>180</v>
      </c>
      <c r="AF182" s="47">
        <v>32</v>
      </c>
      <c r="AG182" s="167">
        <f t="shared" si="30"/>
        <v>5.6192274285714445</v>
      </c>
      <c r="AH182" s="168" t="str">
        <f t="shared" si="31"/>
        <v/>
      </c>
      <c r="AI182" s="168">
        <f t="shared" si="32"/>
        <v>31.608154285714374</v>
      </c>
      <c r="AJ182" s="167" t="str">
        <f t="shared" si="33"/>
        <v/>
      </c>
      <c r="AK182" s="167">
        <f t="shared" si="34"/>
        <v>425224.80000000005</v>
      </c>
      <c r="AL182" s="167">
        <f t="shared" si="35"/>
        <v>11505.368160000033</v>
      </c>
      <c r="AM182" s="167" t="str">
        <f t="shared" si="36"/>
        <v/>
      </c>
    </row>
    <row r="183" spans="1:39" hidden="1" x14ac:dyDescent="0.25">
      <c r="A183" s="128" t="s">
        <v>485</v>
      </c>
      <c r="B183" s="128" t="s">
        <v>209</v>
      </c>
      <c r="C183" s="128" t="s">
        <v>486</v>
      </c>
      <c r="D183" s="128"/>
      <c r="E183" s="128">
        <v>1</v>
      </c>
      <c r="F183" s="128"/>
      <c r="G183" s="128"/>
      <c r="H183" s="128"/>
      <c r="I183" s="128"/>
      <c r="J183" s="99" t="s">
        <v>166</v>
      </c>
      <c r="K183" s="42" t="s">
        <v>487</v>
      </c>
      <c r="L183" s="37">
        <v>4.3</v>
      </c>
      <c r="M183" s="37">
        <v>15</v>
      </c>
      <c r="N183" s="42"/>
      <c r="O183" s="42"/>
      <c r="P183" s="42"/>
      <c r="Q183" s="42"/>
      <c r="R183" s="37"/>
      <c r="S183" s="38">
        <v>13526</v>
      </c>
      <c r="T183" s="43" t="s">
        <v>46</v>
      </c>
      <c r="U183" s="39">
        <v>13534</v>
      </c>
      <c r="V183" s="125">
        <f t="shared" si="29"/>
        <v>8</v>
      </c>
      <c r="W183" s="44"/>
      <c r="X183" s="45"/>
      <c r="Y183" s="124">
        <v>1</v>
      </c>
      <c r="Z183" s="124"/>
      <c r="AA183" s="124"/>
      <c r="AB183" s="124">
        <v>52.99</v>
      </c>
      <c r="AC183" s="130">
        <f t="shared" si="38"/>
        <v>52.99</v>
      </c>
      <c r="AD183" s="45">
        <v>7</v>
      </c>
      <c r="AE183" s="46">
        <v>20</v>
      </c>
      <c r="AF183" s="47">
        <v>15</v>
      </c>
      <c r="AG183" s="167">
        <f t="shared" si="30"/>
        <v>0.47011681206565137</v>
      </c>
      <c r="AH183" s="168" t="str">
        <f t="shared" si="31"/>
        <v/>
      </c>
      <c r="AI183" s="168">
        <f t="shared" si="32"/>
        <v>0.62682241608753519</v>
      </c>
      <c r="AJ183" s="167" t="str">
        <f t="shared" si="33"/>
        <v/>
      </c>
      <c r="AK183" s="167">
        <f t="shared" si="34"/>
        <v>385767.19999999995</v>
      </c>
      <c r="AL183" s="167">
        <f t="shared" si="35"/>
        <v>228.16335945586283</v>
      </c>
      <c r="AM183" s="167" t="str">
        <f t="shared" si="36"/>
        <v/>
      </c>
    </row>
    <row r="184" spans="1:39" hidden="1" x14ac:dyDescent="0.25">
      <c r="A184" s="128"/>
      <c r="B184" s="128"/>
      <c r="C184" s="128"/>
      <c r="D184" s="128"/>
      <c r="E184" s="128">
        <v>1</v>
      </c>
      <c r="F184" s="128"/>
      <c r="G184" s="128"/>
      <c r="H184" s="128"/>
      <c r="I184" s="128"/>
      <c r="J184" s="99" t="s">
        <v>166</v>
      </c>
      <c r="K184" s="42" t="s">
        <v>488</v>
      </c>
      <c r="L184" s="37">
        <v>4.3</v>
      </c>
      <c r="M184" s="37">
        <v>10</v>
      </c>
      <c r="N184" s="42"/>
      <c r="O184" s="42"/>
      <c r="P184" s="42"/>
      <c r="Q184" s="42"/>
      <c r="R184" s="37"/>
      <c r="S184" s="38">
        <v>8720</v>
      </c>
      <c r="T184" s="43" t="s">
        <v>46</v>
      </c>
      <c r="U184" s="39">
        <v>8722</v>
      </c>
      <c r="V184" s="125">
        <f t="shared" si="29"/>
        <v>2</v>
      </c>
      <c r="W184" s="44"/>
      <c r="X184" s="45"/>
      <c r="Y184" s="124">
        <v>1</v>
      </c>
      <c r="Z184" s="124"/>
      <c r="AA184" s="124"/>
      <c r="AB184" s="124">
        <v>44.99</v>
      </c>
      <c r="AC184" s="130">
        <f t="shared" si="38"/>
        <v>44.99</v>
      </c>
      <c r="AD184" s="45">
        <v>7</v>
      </c>
      <c r="AE184" s="46">
        <v>20</v>
      </c>
      <c r="AF184" s="47">
        <v>10</v>
      </c>
      <c r="AG184" s="167">
        <f t="shared" si="30"/>
        <v>0.10318807339449543</v>
      </c>
      <c r="AH184" s="168" t="str">
        <f t="shared" si="31"/>
        <v/>
      </c>
      <c r="AI184" s="168">
        <f t="shared" si="32"/>
        <v>0.20637614678899086</v>
      </c>
      <c r="AJ184" s="167" t="str">
        <f t="shared" si="33"/>
        <v/>
      </c>
      <c r="AK184" s="167">
        <f t="shared" si="34"/>
        <v>327527.2</v>
      </c>
      <c r="AL184" s="167">
        <f t="shared" si="35"/>
        <v>75.120917431192666</v>
      </c>
      <c r="AM184" s="167" t="str">
        <f t="shared" si="36"/>
        <v/>
      </c>
    </row>
    <row r="185" spans="1:39" hidden="1" x14ac:dyDescent="0.25">
      <c r="A185" s="128"/>
      <c r="B185" s="128"/>
      <c r="C185" s="128"/>
      <c r="D185" s="128"/>
      <c r="E185" s="128">
        <v>1</v>
      </c>
      <c r="F185" s="128"/>
      <c r="G185" s="128"/>
      <c r="H185" s="128"/>
      <c r="I185" s="128"/>
      <c r="J185" s="99" t="s">
        <v>168</v>
      </c>
      <c r="K185" s="42" t="s">
        <v>474</v>
      </c>
      <c r="L185" s="37">
        <v>4.3</v>
      </c>
      <c r="M185" s="37">
        <v>13</v>
      </c>
      <c r="N185" s="42"/>
      <c r="O185" s="42"/>
      <c r="P185" s="42"/>
      <c r="Q185" s="42"/>
      <c r="R185" s="37"/>
      <c r="S185" s="38">
        <v>14152</v>
      </c>
      <c r="T185" s="43" t="s">
        <v>46</v>
      </c>
      <c r="U185" s="39">
        <v>14152</v>
      </c>
      <c r="V185" s="125">
        <f t="shared" si="29"/>
        <v>0</v>
      </c>
      <c r="W185" s="44"/>
      <c r="X185" s="45"/>
      <c r="Y185" s="124">
        <v>1</v>
      </c>
      <c r="Z185" s="124"/>
      <c r="AA185" s="124"/>
      <c r="AB185" s="124">
        <v>96.99</v>
      </c>
      <c r="AC185" s="130">
        <f t="shared" si="38"/>
        <v>96.99</v>
      </c>
      <c r="AD185" s="45">
        <v>7</v>
      </c>
      <c r="AE185" s="46">
        <v>20</v>
      </c>
      <c r="AF185" s="47">
        <v>13</v>
      </c>
      <c r="AG185" s="167">
        <f t="shared" si="30"/>
        <v>0</v>
      </c>
      <c r="AH185" s="168">
        <f t="shared" si="31"/>
        <v>0</v>
      </c>
      <c r="AI185" s="168">
        <f t="shared" si="32"/>
        <v>0</v>
      </c>
      <c r="AJ185" s="167">
        <f t="shared" si="33"/>
        <v>0</v>
      </c>
      <c r="AK185" s="167">
        <f t="shared" si="34"/>
        <v>706087.20000000007</v>
      </c>
      <c r="AL185" s="167">
        <f t="shared" si="35"/>
        <v>0</v>
      </c>
      <c r="AM185" s="167">
        <f t="shared" si="36"/>
        <v>0</v>
      </c>
    </row>
    <row r="186" spans="1:39" hidden="1" x14ac:dyDescent="0.25">
      <c r="A186" s="128"/>
      <c r="B186" s="128"/>
      <c r="C186" s="128"/>
      <c r="D186" s="128"/>
      <c r="E186" s="128">
        <v>1</v>
      </c>
      <c r="F186" s="128"/>
      <c r="G186" s="128"/>
      <c r="H186" s="128"/>
      <c r="I186" s="128"/>
      <c r="J186" s="99" t="s">
        <v>102</v>
      </c>
      <c r="K186" s="42" t="s">
        <v>45</v>
      </c>
      <c r="L186" s="37">
        <v>4.3</v>
      </c>
      <c r="M186" s="37">
        <v>13</v>
      </c>
      <c r="N186" s="42"/>
      <c r="O186" s="42"/>
      <c r="P186" s="42"/>
      <c r="Q186" s="42"/>
      <c r="R186" s="37"/>
      <c r="S186" s="38">
        <v>7996</v>
      </c>
      <c r="T186" s="43" t="s">
        <v>46</v>
      </c>
      <c r="U186" s="39">
        <v>8004</v>
      </c>
      <c r="V186" s="125">
        <f t="shared" si="29"/>
        <v>8</v>
      </c>
      <c r="W186" s="44"/>
      <c r="X186" s="45"/>
      <c r="Y186" s="124">
        <v>1</v>
      </c>
      <c r="Z186" s="124"/>
      <c r="AA186" s="124"/>
      <c r="AB186" s="124">
        <v>62.99</v>
      </c>
      <c r="AC186" s="130">
        <f t="shared" si="38"/>
        <v>62.99</v>
      </c>
      <c r="AD186" s="45">
        <v>7</v>
      </c>
      <c r="AE186" s="46">
        <v>20</v>
      </c>
      <c r="AF186" s="47">
        <v>13</v>
      </c>
      <c r="AG186" s="167">
        <f t="shared" si="30"/>
        <v>0.81927963981991003</v>
      </c>
      <c r="AH186" s="168" t="str">
        <f t="shared" si="31"/>
        <v/>
      </c>
      <c r="AI186" s="168">
        <f t="shared" si="32"/>
        <v>1.2604302151075539</v>
      </c>
      <c r="AJ186" s="167" t="str">
        <f t="shared" si="33"/>
        <v/>
      </c>
      <c r="AK186" s="167">
        <f t="shared" si="34"/>
        <v>458567.2</v>
      </c>
      <c r="AL186" s="167">
        <f t="shared" si="35"/>
        <v>458.79659829914959</v>
      </c>
      <c r="AM186" s="167" t="str">
        <f t="shared" si="36"/>
        <v/>
      </c>
    </row>
    <row r="187" spans="1:39" x14ac:dyDescent="0.25">
      <c r="A187" s="128" t="s">
        <v>489</v>
      </c>
      <c r="B187" s="128" t="s">
        <v>208</v>
      </c>
      <c r="C187" s="128" t="s">
        <v>490</v>
      </c>
      <c r="D187" s="128"/>
      <c r="E187" s="128">
        <v>1</v>
      </c>
      <c r="F187" s="128"/>
      <c r="G187" s="128"/>
      <c r="H187" s="128"/>
      <c r="I187" s="128"/>
      <c r="J187" s="99" t="s">
        <v>141</v>
      </c>
      <c r="K187" s="42"/>
      <c r="L187" s="37">
        <v>4.3</v>
      </c>
      <c r="M187" s="37">
        <v>50</v>
      </c>
      <c r="N187" s="42"/>
      <c r="O187" s="42"/>
      <c r="P187" s="42"/>
      <c r="Q187" s="42"/>
      <c r="R187" s="37"/>
      <c r="S187" s="38">
        <v>600</v>
      </c>
      <c r="T187" s="43" t="s">
        <v>46</v>
      </c>
      <c r="U187" s="39">
        <v>620.88</v>
      </c>
      <c r="V187" s="25">
        <f t="shared" si="29"/>
        <v>20.879999999999995</v>
      </c>
      <c r="W187" s="44"/>
      <c r="X187" s="45"/>
      <c r="Y187" s="124">
        <v>1</v>
      </c>
      <c r="Z187" s="124"/>
      <c r="AA187" s="124"/>
      <c r="AB187" s="124">
        <v>5.5</v>
      </c>
      <c r="AC187" s="130">
        <f t="shared" si="38"/>
        <v>5.5</v>
      </c>
      <c r="AD187" s="45">
        <v>7</v>
      </c>
      <c r="AE187" s="46">
        <v>200</v>
      </c>
      <c r="AF187" s="47">
        <v>180</v>
      </c>
      <c r="AG187" s="167">
        <f t="shared" si="30"/>
        <v>34.451999999999991</v>
      </c>
      <c r="AH187" s="168" t="str">
        <f t="shared" si="31"/>
        <v/>
      </c>
      <c r="AI187" s="168">
        <f t="shared" si="32"/>
        <v>38.279999999999994</v>
      </c>
      <c r="AJ187" s="167" t="str">
        <f t="shared" si="33"/>
        <v/>
      </c>
      <c r="AK187" s="167">
        <f t="shared" si="34"/>
        <v>400400</v>
      </c>
      <c r="AL187" s="167">
        <f t="shared" si="35"/>
        <v>13933.919999999998</v>
      </c>
      <c r="AM187" s="167" t="str">
        <f t="shared" si="36"/>
        <v/>
      </c>
    </row>
    <row r="188" spans="1:39" x14ac:dyDescent="0.25">
      <c r="A188" s="128"/>
      <c r="B188" s="128"/>
      <c r="C188" s="128"/>
      <c r="D188" s="128"/>
      <c r="E188" s="128">
        <v>1</v>
      </c>
      <c r="F188" s="128"/>
      <c r="G188" s="128"/>
      <c r="H188" s="128"/>
      <c r="I188" s="128"/>
      <c r="J188" s="99" t="s">
        <v>142</v>
      </c>
      <c r="K188" s="42"/>
      <c r="L188" s="37">
        <v>4.3</v>
      </c>
      <c r="M188" s="37">
        <v>50</v>
      </c>
      <c r="N188" s="42"/>
      <c r="O188" s="42"/>
      <c r="P188" s="42"/>
      <c r="Q188" s="42"/>
      <c r="R188" s="37"/>
      <c r="S188" s="38">
        <v>600</v>
      </c>
      <c r="T188" s="43" t="s">
        <v>46</v>
      </c>
      <c r="U188" s="39">
        <v>616.32000000000005</v>
      </c>
      <c r="V188" s="25">
        <f t="shared" si="29"/>
        <v>16.32000000000005</v>
      </c>
      <c r="W188" s="44"/>
      <c r="X188" s="45"/>
      <c r="Y188" s="124">
        <v>1</v>
      </c>
      <c r="Z188" s="124"/>
      <c r="AA188" s="124"/>
      <c r="AB188" s="124">
        <v>6</v>
      </c>
      <c r="AC188" s="130">
        <f t="shared" si="38"/>
        <v>6</v>
      </c>
      <c r="AD188" s="45">
        <v>7</v>
      </c>
      <c r="AE188" s="46">
        <v>200</v>
      </c>
      <c r="AF188" s="47">
        <v>116</v>
      </c>
      <c r="AG188" s="167">
        <f t="shared" si="30"/>
        <v>18.931200000000061</v>
      </c>
      <c r="AH188" s="168" t="str">
        <f t="shared" si="31"/>
        <v/>
      </c>
      <c r="AI188" s="168">
        <f t="shared" si="32"/>
        <v>32.6400000000001</v>
      </c>
      <c r="AJ188" s="167" t="str">
        <f t="shared" si="33"/>
        <v/>
      </c>
      <c r="AK188" s="167">
        <f t="shared" si="34"/>
        <v>436800</v>
      </c>
      <c r="AL188" s="167">
        <f t="shared" si="35"/>
        <v>11880.960000000036</v>
      </c>
      <c r="AM188" s="167" t="str">
        <f t="shared" si="36"/>
        <v/>
      </c>
    </row>
    <row r="189" spans="1:39" hidden="1" x14ac:dyDescent="0.25">
      <c r="A189" s="128" t="s">
        <v>491</v>
      </c>
      <c r="B189" s="128" t="s">
        <v>209</v>
      </c>
      <c r="C189" s="128" t="s">
        <v>492</v>
      </c>
      <c r="D189" s="128"/>
      <c r="E189" s="128">
        <v>1</v>
      </c>
      <c r="F189" s="128"/>
      <c r="G189" s="128"/>
      <c r="H189" s="128"/>
      <c r="I189" s="128"/>
      <c r="J189" s="99" t="s">
        <v>170</v>
      </c>
      <c r="K189" s="42" t="s">
        <v>493</v>
      </c>
      <c r="L189" s="37">
        <v>4.3</v>
      </c>
      <c r="M189" s="37">
        <v>11</v>
      </c>
      <c r="N189" s="42"/>
      <c r="O189" s="42"/>
      <c r="P189" s="42"/>
      <c r="Q189" s="42"/>
      <c r="R189" s="37"/>
      <c r="S189" s="38">
        <v>8994</v>
      </c>
      <c r="T189" s="43" t="s">
        <v>46</v>
      </c>
      <c r="U189" s="39">
        <v>8994</v>
      </c>
      <c r="V189" s="125">
        <f t="shared" si="29"/>
        <v>0</v>
      </c>
      <c r="W189" s="44"/>
      <c r="X189" s="45"/>
      <c r="Y189" s="124">
        <v>1</v>
      </c>
      <c r="Z189" s="124"/>
      <c r="AA189" s="124"/>
      <c r="AB189" s="124">
        <v>52.99</v>
      </c>
      <c r="AC189" s="130">
        <f t="shared" si="38"/>
        <v>52.99</v>
      </c>
      <c r="AD189" s="45">
        <v>7</v>
      </c>
      <c r="AE189" s="46">
        <v>25</v>
      </c>
      <c r="AF189" s="47">
        <v>11</v>
      </c>
      <c r="AG189" s="167">
        <f t="shared" si="30"/>
        <v>0</v>
      </c>
      <c r="AH189" s="168">
        <f t="shared" si="31"/>
        <v>0</v>
      </c>
      <c r="AI189" s="168">
        <f t="shared" si="32"/>
        <v>0</v>
      </c>
      <c r="AJ189" s="167">
        <f t="shared" si="33"/>
        <v>0</v>
      </c>
      <c r="AK189" s="167">
        <f t="shared" si="34"/>
        <v>482209</v>
      </c>
      <c r="AL189" s="167">
        <f t="shared" si="35"/>
        <v>0</v>
      </c>
      <c r="AM189" s="167">
        <f t="shared" si="36"/>
        <v>0</v>
      </c>
    </row>
    <row r="190" spans="1:39" hidden="1" x14ac:dyDescent="0.25">
      <c r="A190" s="128"/>
      <c r="B190" s="128"/>
      <c r="C190" s="128"/>
      <c r="D190" s="128"/>
      <c r="E190" s="128">
        <v>1</v>
      </c>
      <c r="F190" s="128"/>
      <c r="G190" s="128"/>
      <c r="H190" s="128"/>
      <c r="I190" s="128"/>
      <c r="J190" s="99" t="s">
        <v>166</v>
      </c>
      <c r="K190" s="42" t="s">
        <v>494</v>
      </c>
      <c r="L190" s="37">
        <v>4.3</v>
      </c>
      <c r="M190" s="37">
        <v>14</v>
      </c>
      <c r="N190" s="42"/>
      <c r="O190" s="42"/>
      <c r="P190" s="42"/>
      <c r="Q190" s="42"/>
      <c r="R190" s="37"/>
      <c r="S190" s="38">
        <v>13004</v>
      </c>
      <c r="T190" s="43" t="s">
        <v>46</v>
      </c>
      <c r="U190" s="39">
        <v>13004</v>
      </c>
      <c r="V190" s="125">
        <f t="shared" si="29"/>
        <v>0</v>
      </c>
      <c r="W190" s="44"/>
      <c r="X190" s="45"/>
      <c r="Y190" s="124">
        <v>1</v>
      </c>
      <c r="Z190" s="124"/>
      <c r="AA190" s="124"/>
      <c r="AB190" s="124">
        <v>58.99</v>
      </c>
      <c r="AC190" s="130">
        <f t="shared" si="38"/>
        <v>58.99</v>
      </c>
      <c r="AD190" s="45">
        <v>7</v>
      </c>
      <c r="AE190" s="46">
        <v>20</v>
      </c>
      <c r="AF190" s="47">
        <v>14</v>
      </c>
      <c r="AG190" s="167">
        <f t="shared" si="30"/>
        <v>0</v>
      </c>
      <c r="AH190" s="168">
        <f t="shared" si="31"/>
        <v>0</v>
      </c>
      <c r="AI190" s="168">
        <f t="shared" si="32"/>
        <v>0</v>
      </c>
      <c r="AJ190" s="167">
        <f t="shared" si="33"/>
        <v>0</v>
      </c>
      <c r="AK190" s="167">
        <f t="shared" si="34"/>
        <v>429447.2</v>
      </c>
      <c r="AL190" s="167">
        <f t="shared" si="35"/>
        <v>0</v>
      </c>
      <c r="AM190" s="167">
        <f t="shared" si="36"/>
        <v>0</v>
      </c>
    </row>
    <row r="191" spans="1:39" hidden="1" x14ac:dyDescent="0.25">
      <c r="A191" s="128"/>
      <c r="B191" s="128"/>
      <c r="C191" s="128"/>
      <c r="D191" s="128"/>
      <c r="E191" s="128">
        <v>1</v>
      </c>
      <c r="F191" s="128"/>
      <c r="G191" s="128"/>
      <c r="H191" s="128"/>
      <c r="I191" s="128"/>
      <c r="J191" s="99" t="s">
        <v>166</v>
      </c>
      <c r="K191" s="42" t="s">
        <v>495</v>
      </c>
      <c r="L191" s="37">
        <v>4.3</v>
      </c>
      <c r="M191" s="37">
        <v>13</v>
      </c>
      <c r="N191" s="42"/>
      <c r="O191" s="42"/>
      <c r="P191" s="42"/>
      <c r="Q191" s="42"/>
      <c r="R191" s="37"/>
      <c r="S191" s="38">
        <v>6546</v>
      </c>
      <c r="T191" s="43" t="s">
        <v>46</v>
      </c>
      <c r="U191" s="39">
        <v>6546</v>
      </c>
      <c r="V191" s="125">
        <f t="shared" si="29"/>
        <v>0</v>
      </c>
      <c r="W191" s="44"/>
      <c r="X191" s="45"/>
      <c r="Y191" s="124">
        <v>1</v>
      </c>
      <c r="Z191" s="124"/>
      <c r="AA191" s="124"/>
      <c r="AB191" s="124">
        <v>52.99</v>
      </c>
      <c r="AC191" s="130">
        <f t="shared" si="38"/>
        <v>52.99</v>
      </c>
      <c r="AD191" s="45">
        <v>7</v>
      </c>
      <c r="AE191" s="46">
        <v>20</v>
      </c>
      <c r="AF191" s="47">
        <v>13</v>
      </c>
      <c r="AG191" s="167">
        <f t="shared" si="30"/>
        <v>0</v>
      </c>
      <c r="AH191" s="168">
        <f t="shared" si="31"/>
        <v>0</v>
      </c>
      <c r="AI191" s="168">
        <f t="shared" si="32"/>
        <v>0</v>
      </c>
      <c r="AJ191" s="167">
        <f t="shared" si="33"/>
        <v>0</v>
      </c>
      <c r="AK191" s="167">
        <f t="shared" si="34"/>
        <v>385767.19999999995</v>
      </c>
      <c r="AL191" s="167">
        <f t="shared" si="35"/>
        <v>0</v>
      </c>
      <c r="AM191" s="167">
        <f t="shared" si="36"/>
        <v>0</v>
      </c>
    </row>
    <row r="192" spans="1:39" hidden="1" x14ac:dyDescent="0.25">
      <c r="A192" s="128"/>
      <c r="B192" s="128"/>
      <c r="C192" s="128"/>
      <c r="D192" s="128"/>
      <c r="E192" s="128">
        <v>1</v>
      </c>
      <c r="F192" s="128"/>
      <c r="G192" s="128"/>
      <c r="H192" s="128"/>
      <c r="I192" s="128"/>
      <c r="J192" s="99" t="s">
        <v>102</v>
      </c>
      <c r="K192" s="42" t="s">
        <v>496</v>
      </c>
      <c r="L192" s="37">
        <v>4.3</v>
      </c>
      <c r="M192" s="37">
        <v>13</v>
      </c>
      <c r="N192" s="42"/>
      <c r="O192" s="42"/>
      <c r="P192" s="42"/>
      <c r="Q192" s="42"/>
      <c r="R192" s="37"/>
      <c r="S192" s="38">
        <v>10990</v>
      </c>
      <c r="T192" s="43" t="s">
        <v>46</v>
      </c>
      <c r="U192" s="39">
        <v>10990</v>
      </c>
      <c r="V192" s="125">
        <f t="shared" si="29"/>
        <v>0</v>
      </c>
      <c r="W192" s="44"/>
      <c r="X192" s="45"/>
      <c r="Y192" s="124">
        <v>1</v>
      </c>
      <c r="Z192" s="124"/>
      <c r="AA192" s="124"/>
      <c r="AB192" s="124">
        <v>62.99</v>
      </c>
      <c r="AC192" s="130">
        <f t="shared" si="38"/>
        <v>62.99</v>
      </c>
      <c r="AD192" s="45">
        <v>7</v>
      </c>
      <c r="AE192" s="46">
        <v>25</v>
      </c>
      <c r="AF192" s="47">
        <v>13</v>
      </c>
      <c r="AG192" s="167">
        <f t="shared" si="30"/>
        <v>0</v>
      </c>
      <c r="AH192" s="168">
        <f t="shared" si="31"/>
        <v>0</v>
      </c>
      <c r="AI192" s="168">
        <f t="shared" si="32"/>
        <v>0</v>
      </c>
      <c r="AJ192" s="167">
        <f t="shared" si="33"/>
        <v>0</v>
      </c>
      <c r="AK192" s="167">
        <f t="shared" si="34"/>
        <v>573209</v>
      </c>
      <c r="AL192" s="167">
        <f t="shared" si="35"/>
        <v>0</v>
      </c>
      <c r="AM192" s="167">
        <f t="shared" si="36"/>
        <v>0</v>
      </c>
    </row>
    <row r="193" spans="1:39" hidden="1" x14ac:dyDescent="0.25">
      <c r="A193" s="128"/>
      <c r="B193" s="128"/>
      <c r="C193" s="128"/>
      <c r="D193" s="128"/>
      <c r="E193" s="128">
        <v>1</v>
      </c>
      <c r="F193" s="128"/>
      <c r="G193" s="128"/>
      <c r="H193" s="128"/>
      <c r="I193" s="128"/>
      <c r="J193" s="99" t="s">
        <v>166</v>
      </c>
      <c r="K193" s="42" t="s">
        <v>497</v>
      </c>
      <c r="L193" s="37">
        <v>4.3</v>
      </c>
      <c r="M193" s="37">
        <v>10</v>
      </c>
      <c r="N193" s="42"/>
      <c r="O193" s="42"/>
      <c r="P193" s="42"/>
      <c r="Q193" s="42"/>
      <c r="R193" s="37"/>
      <c r="S193" s="38">
        <v>6094</v>
      </c>
      <c r="T193" s="43" t="s">
        <v>46</v>
      </c>
      <c r="U193" s="39">
        <v>6094</v>
      </c>
      <c r="V193" s="125">
        <f t="shared" si="29"/>
        <v>0</v>
      </c>
      <c r="W193" s="44"/>
      <c r="X193" s="45"/>
      <c r="Y193" s="124">
        <v>1</v>
      </c>
      <c r="Z193" s="124"/>
      <c r="AA193" s="124"/>
      <c r="AB193" s="124">
        <v>58.99</v>
      </c>
      <c r="AC193" s="130">
        <f t="shared" si="38"/>
        <v>58.99</v>
      </c>
      <c r="AD193" s="45">
        <v>7</v>
      </c>
      <c r="AE193" s="46">
        <v>25</v>
      </c>
      <c r="AF193" s="47">
        <v>10</v>
      </c>
      <c r="AG193" s="167">
        <f t="shared" si="30"/>
        <v>0</v>
      </c>
      <c r="AH193" s="168">
        <f t="shared" si="31"/>
        <v>0</v>
      </c>
      <c r="AI193" s="168">
        <f t="shared" si="32"/>
        <v>0</v>
      </c>
      <c r="AJ193" s="167">
        <f t="shared" si="33"/>
        <v>0</v>
      </c>
      <c r="AK193" s="167">
        <f t="shared" si="34"/>
        <v>536809</v>
      </c>
      <c r="AL193" s="167">
        <f t="shared" si="35"/>
        <v>0</v>
      </c>
      <c r="AM193" s="167">
        <f t="shared" si="36"/>
        <v>0</v>
      </c>
    </row>
    <row r="194" spans="1:39" hidden="1" x14ac:dyDescent="0.25">
      <c r="A194" s="128" t="s">
        <v>498</v>
      </c>
      <c r="B194" s="128" t="s">
        <v>205</v>
      </c>
      <c r="C194" s="128" t="s">
        <v>499</v>
      </c>
      <c r="D194" s="128"/>
      <c r="E194" s="128">
        <v>1</v>
      </c>
      <c r="F194" s="128"/>
      <c r="G194" s="128"/>
      <c r="H194" s="128"/>
      <c r="I194" s="128"/>
      <c r="J194" s="99" t="s">
        <v>166</v>
      </c>
      <c r="K194" s="42" t="s">
        <v>500</v>
      </c>
      <c r="L194" s="37">
        <v>4.3</v>
      </c>
      <c r="M194" s="37">
        <v>11</v>
      </c>
      <c r="N194" s="42"/>
      <c r="O194" s="42"/>
      <c r="P194" s="42"/>
      <c r="Q194" s="42"/>
      <c r="R194" s="37"/>
      <c r="S194" s="38">
        <v>3732</v>
      </c>
      <c r="T194" s="43" t="s">
        <v>46</v>
      </c>
      <c r="U194" s="39">
        <v>3675</v>
      </c>
      <c r="V194" s="125">
        <f t="shared" si="29"/>
        <v>-57</v>
      </c>
      <c r="W194" s="44"/>
      <c r="X194" s="45"/>
      <c r="Y194" s="124">
        <v>1</v>
      </c>
      <c r="Z194" s="124">
        <v>1</v>
      </c>
      <c r="AA194" s="124"/>
      <c r="AB194" s="124">
        <v>59.95</v>
      </c>
      <c r="AC194" s="130">
        <f t="shared" si="38"/>
        <v>59.95</v>
      </c>
      <c r="AD194" s="45">
        <v>7</v>
      </c>
      <c r="AE194" s="46">
        <v>25</v>
      </c>
      <c r="AF194" s="47">
        <v>11</v>
      </c>
      <c r="AG194" s="167" t="str">
        <f t="shared" si="30"/>
        <v/>
      </c>
      <c r="AH194" s="168">
        <f t="shared" si="31"/>
        <v>-10.071985530546625</v>
      </c>
      <c r="AI194" s="168" t="str">
        <f t="shared" si="32"/>
        <v/>
      </c>
      <c r="AJ194" s="167">
        <f t="shared" si="33"/>
        <v>-22.890876205787787</v>
      </c>
      <c r="AK194" s="167">
        <f t="shared" si="34"/>
        <v>545545</v>
      </c>
      <c r="AL194" s="167" t="str">
        <f t="shared" si="35"/>
        <v/>
      </c>
      <c r="AM194" s="167">
        <f t="shared" si="36"/>
        <v>8332.2789389067548</v>
      </c>
    </row>
    <row r="195" spans="1:39" hidden="1" x14ac:dyDescent="0.25">
      <c r="A195" s="128"/>
      <c r="B195" s="128"/>
      <c r="C195" s="128"/>
      <c r="D195" s="128"/>
      <c r="E195" s="128">
        <v>1</v>
      </c>
      <c r="F195" s="128"/>
      <c r="G195" s="128"/>
      <c r="H195" s="128"/>
      <c r="I195" s="128"/>
      <c r="J195" s="99" t="s">
        <v>168</v>
      </c>
      <c r="K195" s="42" t="s">
        <v>501</v>
      </c>
      <c r="L195" s="37">
        <v>4.3</v>
      </c>
      <c r="M195" s="37">
        <v>4</v>
      </c>
      <c r="N195" s="42"/>
      <c r="O195" s="42"/>
      <c r="P195" s="42"/>
      <c r="Q195" s="42"/>
      <c r="R195" s="37"/>
      <c r="S195" s="38">
        <v>1746</v>
      </c>
      <c r="T195" s="43" t="s">
        <v>46</v>
      </c>
      <c r="U195" s="39">
        <v>1829.3</v>
      </c>
      <c r="V195" s="125">
        <f t="shared" si="29"/>
        <v>83.299999999999955</v>
      </c>
      <c r="W195" s="44"/>
      <c r="X195" s="45"/>
      <c r="Y195" s="124">
        <v>1</v>
      </c>
      <c r="Z195" s="124">
        <v>1</v>
      </c>
      <c r="AA195" s="124"/>
      <c r="AB195" s="124">
        <v>69.95</v>
      </c>
      <c r="AC195" s="130">
        <f t="shared" si="38"/>
        <v>69.95</v>
      </c>
      <c r="AD195" s="45">
        <v>7</v>
      </c>
      <c r="AE195" s="46">
        <v>25</v>
      </c>
      <c r="AF195" s="47">
        <v>4</v>
      </c>
      <c r="AG195" s="167">
        <f t="shared" si="30"/>
        <v>13.348991981672388</v>
      </c>
      <c r="AH195" s="168" t="str">
        <f t="shared" si="31"/>
        <v/>
      </c>
      <c r="AI195" s="168">
        <f t="shared" si="32"/>
        <v>83.431199885452429</v>
      </c>
      <c r="AJ195" s="167" t="str">
        <f t="shared" si="33"/>
        <v/>
      </c>
      <c r="AK195" s="167">
        <f t="shared" si="34"/>
        <v>636545</v>
      </c>
      <c r="AL195" s="167">
        <f t="shared" si="35"/>
        <v>30368.956758304685</v>
      </c>
      <c r="AM195" s="167" t="str">
        <f t="shared" si="36"/>
        <v/>
      </c>
    </row>
    <row r="196" spans="1:39" s="48" customFormat="1" hidden="1" x14ac:dyDescent="0.25">
      <c r="A196" s="128"/>
      <c r="B196" s="128"/>
      <c r="C196" s="128"/>
      <c r="D196" s="128"/>
      <c r="E196" s="128">
        <v>1</v>
      </c>
      <c r="F196" s="128"/>
      <c r="G196" s="128"/>
      <c r="H196" s="128"/>
      <c r="I196" s="128"/>
      <c r="J196" s="99" t="s">
        <v>166</v>
      </c>
      <c r="K196" s="42" t="s">
        <v>502</v>
      </c>
      <c r="L196" s="37">
        <v>4.3</v>
      </c>
      <c r="M196" s="37">
        <v>13</v>
      </c>
      <c r="N196" s="42"/>
      <c r="O196" s="42"/>
      <c r="P196" s="42"/>
      <c r="Q196" s="42"/>
      <c r="R196" s="37"/>
      <c r="S196" s="38">
        <v>5202</v>
      </c>
      <c r="T196" s="43" t="s">
        <v>46</v>
      </c>
      <c r="U196" s="39">
        <v>5118.1000000000004</v>
      </c>
      <c r="V196" s="125">
        <f t="shared" si="29"/>
        <v>-83.899999999999636</v>
      </c>
      <c r="W196" s="44"/>
      <c r="X196" s="45"/>
      <c r="Y196" s="124">
        <v>1</v>
      </c>
      <c r="Z196" s="124">
        <v>1</v>
      </c>
      <c r="AA196" s="124"/>
      <c r="AB196" s="124">
        <v>35.950000000000003</v>
      </c>
      <c r="AC196" s="130">
        <f t="shared" si="38"/>
        <v>35.950000000000003</v>
      </c>
      <c r="AD196" s="45">
        <v>7</v>
      </c>
      <c r="AE196" s="46">
        <v>25</v>
      </c>
      <c r="AF196" s="47">
        <v>13</v>
      </c>
      <c r="AG196" s="167" t="str">
        <f t="shared" si="30"/>
        <v/>
      </c>
      <c r="AH196" s="168">
        <f t="shared" si="31"/>
        <v>-7.5376134179161536</v>
      </c>
      <c r="AI196" s="168" t="str">
        <f t="shared" si="32"/>
        <v/>
      </c>
      <c r="AJ196" s="167">
        <f t="shared" si="33"/>
        <v>-14.495410419069527</v>
      </c>
      <c r="AK196" s="167">
        <f t="shared" si="34"/>
        <v>327145.00000000006</v>
      </c>
      <c r="AL196" s="167" t="str">
        <f t="shared" si="35"/>
        <v/>
      </c>
      <c r="AM196" s="167">
        <f t="shared" si="36"/>
        <v>5276.3293925413082</v>
      </c>
    </row>
    <row r="197" spans="1:39" s="48" customFormat="1" hidden="1" x14ac:dyDescent="0.25">
      <c r="A197" s="128"/>
      <c r="B197" s="128"/>
      <c r="C197" s="128"/>
      <c r="D197" s="128"/>
      <c r="E197" s="128">
        <v>1</v>
      </c>
      <c r="F197" s="128"/>
      <c r="G197" s="128"/>
      <c r="H197" s="128"/>
      <c r="I197" s="128"/>
      <c r="J197" s="99" t="s">
        <v>166</v>
      </c>
      <c r="K197" s="42" t="s">
        <v>503</v>
      </c>
      <c r="L197" s="37">
        <v>4.3</v>
      </c>
      <c r="M197" s="37">
        <v>7</v>
      </c>
      <c r="N197" s="42"/>
      <c r="O197" s="42"/>
      <c r="P197" s="42"/>
      <c r="Q197" s="42"/>
      <c r="R197" s="37"/>
      <c r="S197" s="38">
        <v>3180</v>
      </c>
      <c r="T197" s="43" t="s">
        <v>46</v>
      </c>
      <c r="U197" s="39">
        <v>3145.5</v>
      </c>
      <c r="V197" s="125">
        <f t="shared" si="29"/>
        <v>-34.5</v>
      </c>
      <c r="W197" s="44"/>
      <c r="X197" s="45"/>
      <c r="Y197" s="124">
        <v>1</v>
      </c>
      <c r="Z197" s="124">
        <v>1</v>
      </c>
      <c r="AA197" s="124"/>
      <c r="AB197" s="124">
        <v>62.95</v>
      </c>
      <c r="AC197" s="130">
        <f t="shared" si="38"/>
        <v>62.95</v>
      </c>
      <c r="AD197" s="45">
        <v>7</v>
      </c>
      <c r="AE197" s="46">
        <v>25</v>
      </c>
      <c r="AF197" s="47">
        <v>7</v>
      </c>
      <c r="AG197" s="167" t="str">
        <f t="shared" si="30"/>
        <v/>
      </c>
      <c r="AH197" s="168">
        <f t="shared" si="31"/>
        <v>-4.7806367924528308</v>
      </c>
      <c r="AI197" s="168" t="str">
        <f t="shared" si="32"/>
        <v/>
      </c>
      <c r="AJ197" s="167">
        <f t="shared" si="33"/>
        <v>-17.07370283018868</v>
      </c>
      <c r="AK197" s="167">
        <f t="shared" si="34"/>
        <v>572845</v>
      </c>
      <c r="AL197" s="167" t="str">
        <f t="shared" si="35"/>
        <v/>
      </c>
      <c r="AM197" s="167">
        <f t="shared" si="36"/>
        <v>6214.8278301886794</v>
      </c>
    </row>
    <row r="198" spans="1:39" s="48" customFormat="1" hidden="1" x14ac:dyDescent="0.25">
      <c r="A198" s="128" t="s">
        <v>504</v>
      </c>
      <c r="B198" s="128" t="s">
        <v>205</v>
      </c>
      <c r="C198" s="128" t="s">
        <v>505</v>
      </c>
      <c r="D198" s="128"/>
      <c r="E198" s="128">
        <v>1</v>
      </c>
      <c r="F198" s="128"/>
      <c r="G198" s="128"/>
      <c r="H198" s="128"/>
      <c r="I198" s="128"/>
      <c r="J198" s="99" t="s">
        <v>166</v>
      </c>
      <c r="K198" s="42" t="s">
        <v>473</v>
      </c>
      <c r="L198" s="37">
        <v>4.3</v>
      </c>
      <c r="M198" s="37">
        <v>12</v>
      </c>
      <c r="N198" s="42"/>
      <c r="O198" s="42"/>
      <c r="P198" s="42"/>
      <c r="Q198" s="42"/>
      <c r="R198" s="37"/>
      <c r="S198" s="38">
        <v>7346</v>
      </c>
      <c r="T198" s="43" t="s">
        <v>46</v>
      </c>
      <c r="U198" s="39">
        <v>7346</v>
      </c>
      <c r="V198" s="125">
        <f t="shared" si="29"/>
        <v>0</v>
      </c>
      <c r="W198" s="44"/>
      <c r="X198" s="45"/>
      <c r="Y198" s="124">
        <v>1</v>
      </c>
      <c r="Z198" s="124"/>
      <c r="AA198" s="124"/>
      <c r="AB198" s="124">
        <v>56.99</v>
      </c>
      <c r="AC198" s="130">
        <f t="shared" si="38"/>
        <v>56.99</v>
      </c>
      <c r="AD198" s="45">
        <v>7</v>
      </c>
      <c r="AE198" s="46">
        <v>20</v>
      </c>
      <c r="AF198" s="47">
        <v>12</v>
      </c>
      <c r="AG198" s="167">
        <f t="shared" si="30"/>
        <v>0</v>
      </c>
      <c r="AH198" s="168">
        <f t="shared" si="31"/>
        <v>0</v>
      </c>
      <c r="AI198" s="168">
        <f t="shared" si="32"/>
        <v>0</v>
      </c>
      <c r="AJ198" s="167">
        <f t="shared" si="33"/>
        <v>0</v>
      </c>
      <c r="AK198" s="167">
        <f t="shared" si="34"/>
        <v>414887.19999999995</v>
      </c>
      <c r="AL198" s="167">
        <f t="shared" si="35"/>
        <v>0</v>
      </c>
      <c r="AM198" s="167">
        <f t="shared" si="36"/>
        <v>0</v>
      </c>
    </row>
    <row r="199" spans="1:39" s="48" customFormat="1" hidden="1" x14ac:dyDescent="0.25">
      <c r="A199" s="128"/>
      <c r="B199" s="128"/>
      <c r="C199" s="128"/>
      <c r="D199" s="128"/>
      <c r="E199" s="128">
        <v>1</v>
      </c>
      <c r="F199" s="128"/>
      <c r="G199" s="128"/>
      <c r="H199" s="128"/>
      <c r="I199" s="128"/>
      <c r="J199" s="99" t="s">
        <v>102</v>
      </c>
      <c r="K199" s="42" t="s">
        <v>506</v>
      </c>
      <c r="L199" s="37">
        <v>4.3</v>
      </c>
      <c r="M199" s="37">
        <v>13</v>
      </c>
      <c r="N199" s="42"/>
      <c r="O199" s="42"/>
      <c r="P199" s="42"/>
      <c r="Q199" s="42"/>
      <c r="R199" s="37"/>
      <c r="S199" s="38">
        <v>6752</v>
      </c>
      <c r="T199" s="43" t="s">
        <v>46</v>
      </c>
      <c r="U199" s="39">
        <v>6752</v>
      </c>
      <c r="V199" s="125">
        <f t="shared" si="29"/>
        <v>0</v>
      </c>
      <c r="W199" s="44"/>
      <c r="X199" s="45"/>
      <c r="Y199" s="124">
        <v>1</v>
      </c>
      <c r="Z199" s="124"/>
      <c r="AA199" s="124"/>
      <c r="AB199" s="124">
        <v>64.989999999999995</v>
      </c>
      <c r="AC199" s="130">
        <f t="shared" si="38"/>
        <v>64.989999999999995</v>
      </c>
      <c r="AD199" s="45">
        <v>7</v>
      </c>
      <c r="AE199" s="46">
        <v>25</v>
      </c>
      <c r="AF199" s="47">
        <v>13</v>
      </c>
      <c r="AG199" s="167">
        <f t="shared" si="30"/>
        <v>0</v>
      </c>
      <c r="AH199" s="168">
        <f t="shared" si="31"/>
        <v>0</v>
      </c>
      <c r="AI199" s="168">
        <f t="shared" si="32"/>
        <v>0</v>
      </c>
      <c r="AJ199" s="167">
        <f t="shared" si="33"/>
        <v>0</v>
      </c>
      <c r="AK199" s="167">
        <f t="shared" si="34"/>
        <v>591408.99999999988</v>
      </c>
      <c r="AL199" s="167">
        <f t="shared" si="35"/>
        <v>0</v>
      </c>
      <c r="AM199" s="167">
        <f t="shared" si="36"/>
        <v>0</v>
      </c>
    </row>
    <row r="200" spans="1:39" s="48" customFormat="1" hidden="1" x14ac:dyDescent="0.25">
      <c r="A200" s="128"/>
      <c r="B200" s="128"/>
      <c r="C200" s="128"/>
      <c r="D200" s="128"/>
      <c r="E200" s="128">
        <v>1</v>
      </c>
      <c r="F200" s="128"/>
      <c r="G200" s="128"/>
      <c r="H200" s="128"/>
      <c r="I200" s="128"/>
      <c r="J200" s="99" t="s">
        <v>102</v>
      </c>
      <c r="K200" s="42" t="s">
        <v>507</v>
      </c>
      <c r="L200" s="37">
        <v>4.3</v>
      </c>
      <c r="M200" s="37">
        <v>15</v>
      </c>
      <c r="N200" s="42"/>
      <c r="O200" s="42"/>
      <c r="P200" s="42"/>
      <c r="Q200" s="42"/>
      <c r="R200" s="37"/>
      <c r="S200" s="38">
        <v>10226</v>
      </c>
      <c r="T200" s="43" t="s">
        <v>46</v>
      </c>
      <c r="U200" s="39">
        <v>10226</v>
      </c>
      <c r="V200" s="125">
        <f t="shared" ref="V200:V232" si="39">-S200+U200</f>
        <v>0</v>
      </c>
      <c r="W200" s="44"/>
      <c r="X200" s="45"/>
      <c r="Y200" s="124">
        <v>1</v>
      </c>
      <c r="Z200" s="124"/>
      <c r="AA200" s="124"/>
      <c r="AB200" s="124">
        <v>63.9</v>
      </c>
      <c r="AC200" s="130">
        <f t="shared" si="38"/>
        <v>63.9</v>
      </c>
      <c r="AD200" s="45">
        <v>7</v>
      </c>
      <c r="AE200" s="46">
        <v>20</v>
      </c>
      <c r="AF200" s="47">
        <v>15</v>
      </c>
      <c r="AG200" s="167">
        <f t="shared" si="30"/>
        <v>0</v>
      </c>
      <c r="AH200" s="168">
        <f t="shared" si="31"/>
        <v>0</v>
      </c>
      <c r="AI200" s="168">
        <f t="shared" si="32"/>
        <v>0</v>
      </c>
      <c r="AJ200" s="167">
        <f t="shared" si="33"/>
        <v>0</v>
      </c>
      <c r="AK200" s="167">
        <f t="shared" si="34"/>
        <v>465192</v>
      </c>
      <c r="AL200" s="167">
        <f t="shared" si="35"/>
        <v>0</v>
      </c>
      <c r="AM200" s="167">
        <f t="shared" si="36"/>
        <v>0</v>
      </c>
    </row>
    <row r="201" spans="1:39" s="48" customFormat="1" hidden="1" x14ac:dyDescent="0.25">
      <c r="A201" s="128"/>
      <c r="B201" s="128"/>
      <c r="C201" s="128"/>
      <c r="D201" s="128"/>
      <c r="E201" s="128">
        <v>1</v>
      </c>
      <c r="F201" s="128"/>
      <c r="G201" s="128"/>
      <c r="H201" s="128"/>
      <c r="I201" s="128"/>
      <c r="J201" s="99" t="s">
        <v>166</v>
      </c>
      <c r="K201" s="42" t="s">
        <v>475</v>
      </c>
      <c r="L201" s="37">
        <v>4.3</v>
      </c>
      <c r="M201" s="37">
        <v>9</v>
      </c>
      <c r="N201" s="42"/>
      <c r="O201" s="42"/>
      <c r="P201" s="42"/>
      <c r="Q201" s="42"/>
      <c r="R201" s="37"/>
      <c r="S201" s="38">
        <v>5106</v>
      </c>
      <c r="T201" s="43" t="s">
        <v>46</v>
      </c>
      <c r="U201" s="39">
        <v>5106</v>
      </c>
      <c r="V201" s="125">
        <f t="shared" si="39"/>
        <v>0</v>
      </c>
      <c r="W201" s="44"/>
      <c r="X201" s="45"/>
      <c r="Y201" s="124">
        <v>1</v>
      </c>
      <c r="Z201" s="124"/>
      <c r="AA201" s="124"/>
      <c r="AB201" s="124">
        <v>89.9</v>
      </c>
      <c r="AC201" s="130">
        <f t="shared" si="38"/>
        <v>89.9</v>
      </c>
      <c r="AD201" s="45">
        <v>7</v>
      </c>
      <c r="AE201" s="46">
        <v>15</v>
      </c>
      <c r="AF201" s="47">
        <v>9</v>
      </c>
      <c r="AG201" s="167">
        <f t="shared" ref="AG201:AG264" si="40">IF((-S201+U201)&lt;0,"",(AC201/S201)*V201*AF201)</f>
        <v>0</v>
      </c>
      <c r="AH201" s="168">
        <f t="shared" ref="AH201:AH264" si="41">IF((-S201+U201)&gt;0,"",(AC201/S201)*V201*AF201)</f>
        <v>0</v>
      </c>
      <c r="AI201" s="168">
        <f t="shared" ref="AI201:AI264" si="42">IF((-S201+U201)&lt;0,"",(AC201/S201)*V201*AE201)</f>
        <v>0</v>
      </c>
      <c r="AJ201" s="167">
        <f t="shared" ref="AJ201:AJ264" si="43">IF((-S201+U201)&gt;0,"",(AC201/S201)*V201*AE201)</f>
        <v>0</v>
      </c>
      <c r="AK201" s="167">
        <f t="shared" ref="AK201:AK264" si="44">AC201*AE201*AD201*52</f>
        <v>490854</v>
      </c>
      <c r="AL201" s="167">
        <f t="shared" ref="AL201:AL264" si="45">IF((-S201+U201)&lt;0,"",AI201*AD201*52)</f>
        <v>0</v>
      </c>
      <c r="AM201" s="167">
        <f t="shared" ref="AM201:AM264" si="46">IF((-S201+U201)&gt;0,"",-AJ201*AD201*52)</f>
        <v>0</v>
      </c>
    </row>
    <row r="202" spans="1:39" s="48" customFormat="1" x14ac:dyDescent="0.25">
      <c r="A202" s="128" t="s">
        <v>508</v>
      </c>
      <c r="B202" s="128" t="s">
        <v>208</v>
      </c>
      <c r="C202" s="128" t="s">
        <v>509</v>
      </c>
      <c r="D202" s="128"/>
      <c r="E202" s="128">
        <v>1</v>
      </c>
      <c r="F202" s="128"/>
      <c r="G202" s="128"/>
      <c r="H202" s="128"/>
      <c r="I202" s="128"/>
      <c r="J202" s="99" t="s">
        <v>142</v>
      </c>
      <c r="K202" s="42"/>
      <c r="L202" s="37">
        <v>4.3</v>
      </c>
      <c r="M202" s="37"/>
      <c r="N202" s="42"/>
      <c r="O202" s="42"/>
      <c r="P202" s="42"/>
      <c r="Q202" s="42"/>
      <c r="R202" s="37"/>
      <c r="S202" s="38">
        <v>700</v>
      </c>
      <c r="T202" s="43" t="s">
        <v>46</v>
      </c>
      <c r="U202" s="39">
        <v>705.58</v>
      </c>
      <c r="V202" s="25">
        <f>-S202+U202</f>
        <v>5.5800000000000409</v>
      </c>
      <c r="W202" s="44"/>
      <c r="X202" s="45"/>
      <c r="Y202" s="124">
        <v>1</v>
      </c>
      <c r="Z202" s="124"/>
      <c r="AA202" s="124"/>
      <c r="AB202" s="124">
        <v>8</v>
      </c>
      <c r="AC202" s="130">
        <f t="shared" si="38"/>
        <v>8</v>
      </c>
      <c r="AD202" s="45">
        <v>7</v>
      </c>
      <c r="AE202" s="46">
        <v>150</v>
      </c>
      <c r="AF202" s="47">
        <v>40</v>
      </c>
      <c r="AG202" s="167">
        <f t="shared" si="40"/>
        <v>2.5508571428571614</v>
      </c>
      <c r="AH202" s="168" t="str">
        <f t="shared" si="41"/>
        <v/>
      </c>
      <c r="AI202" s="168">
        <f t="shared" si="42"/>
        <v>9.5657142857143551</v>
      </c>
      <c r="AJ202" s="167" t="str">
        <f t="shared" si="43"/>
        <v/>
      </c>
      <c r="AK202" s="167">
        <f t="shared" si="44"/>
        <v>436800</v>
      </c>
      <c r="AL202" s="167">
        <f t="shared" si="45"/>
        <v>3481.9200000000255</v>
      </c>
      <c r="AM202" s="167" t="str">
        <f t="shared" si="46"/>
        <v/>
      </c>
    </row>
    <row r="203" spans="1:39" s="48" customFormat="1" hidden="1" x14ac:dyDescent="0.25">
      <c r="A203" s="128"/>
      <c r="B203" s="128"/>
      <c r="C203" s="128"/>
      <c r="D203" s="128"/>
      <c r="E203" s="128">
        <v>1</v>
      </c>
      <c r="F203" s="128"/>
      <c r="G203" s="128"/>
      <c r="H203" s="128"/>
      <c r="I203" s="128"/>
      <c r="J203" s="99" t="s">
        <v>168</v>
      </c>
      <c r="K203" s="42" t="s">
        <v>510</v>
      </c>
      <c r="L203" s="37">
        <v>4.3</v>
      </c>
      <c r="M203" s="37">
        <v>12</v>
      </c>
      <c r="N203" s="42"/>
      <c r="O203" s="42"/>
      <c r="P203" s="42"/>
      <c r="Q203" s="42"/>
      <c r="R203" s="37"/>
      <c r="S203" s="38">
        <v>5658</v>
      </c>
      <c r="T203" s="43" t="s">
        <v>46</v>
      </c>
      <c r="U203" s="39">
        <v>5441.5</v>
      </c>
      <c r="V203" s="125">
        <f t="shared" si="39"/>
        <v>-216.5</v>
      </c>
      <c r="W203" s="44"/>
      <c r="X203" s="45"/>
      <c r="Y203" s="124">
        <v>1</v>
      </c>
      <c r="Z203" s="124">
        <v>1</v>
      </c>
      <c r="AA203" s="124"/>
      <c r="AB203" s="124">
        <v>97.88</v>
      </c>
      <c r="AC203" s="130">
        <f t="shared" si="38"/>
        <v>97.88</v>
      </c>
      <c r="AD203" s="45">
        <v>7</v>
      </c>
      <c r="AE203" s="46">
        <v>25</v>
      </c>
      <c r="AF203" s="47">
        <v>12</v>
      </c>
      <c r="AG203" s="167" t="str">
        <f t="shared" si="40"/>
        <v/>
      </c>
      <c r="AH203" s="168">
        <f t="shared" si="41"/>
        <v>-44.943838812301159</v>
      </c>
      <c r="AI203" s="168" t="str">
        <f t="shared" si="42"/>
        <v/>
      </c>
      <c r="AJ203" s="167">
        <f t="shared" si="43"/>
        <v>-93.632997525627417</v>
      </c>
      <c r="AK203" s="167">
        <f t="shared" si="44"/>
        <v>890708</v>
      </c>
      <c r="AL203" s="167" t="str">
        <f t="shared" si="45"/>
        <v/>
      </c>
      <c r="AM203" s="167">
        <f t="shared" si="46"/>
        <v>34082.411099328383</v>
      </c>
    </row>
    <row r="204" spans="1:39" s="48" customFormat="1" hidden="1" x14ac:dyDescent="0.25">
      <c r="A204" s="128"/>
      <c r="B204" s="128"/>
      <c r="C204" s="128"/>
      <c r="D204" s="128"/>
      <c r="E204" s="128">
        <v>1</v>
      </c>
      <c r="F204" s="128"/>
      <c r="G204" s="128"/>
      <c r="H204" s="128"/>
      <c r="I204" s="128"/>
      <c r="J204" s="99" t="s">
        <v>170</v>
      </c>
      <c r="K204" s="42" t="s">
        <v>511</v>
      </c>
      <c r="L204" s="37">
        <v>4.3</v>
      </c>
      <c r="M204" s="37">
        <v>15</v>
      </c>
      <c r="N204" s="42"/>
      <c r="O204" s="42"/>
      <c r="P204" s="42"/>
      <c r="Q204" s="42"/>
      <c r="R204" s="37"/>
      <c r="S204" s="38">
        <v>9610</v>
      </c>
      <c r="T204" s="43" t="s">
        <v>46</v>
      </c>
      <c r="U204" s="39">
        <v>9157.7000000000007</v>
      </c>
      <c r="V204" s="125">
        <f t="shared" si="39"/>
        <v>-452.29999999999927</v>
      </c>
      <c r="W204" s="44"/>
      <c r="X204" s="45"/>
      <c r="Y204" s="124">
        <v>1</v>
      </c>
      <c r="Z204" s="124">
        <v>1</v>
      </c>
      <c r="AA204" s="124"/>
      <c r="AB204" s="124">
        <v>71.989999999999995</v>
      </c>
      <c r="AC204" s="130">
        <f t="shared" si="38"/>
        <v>71.989999999999995</v>
      </c>
      <c r="AD204" s="45">
        <v>7</v>
      </c>
      <c r="AE204" s="46">
        <v>25</v>
      </c>
      <c r="AF204" s="47">
        <v>15</v>
      </c>
      <c r="AG204" s="167" t="str">
        <f t="shared" si="40"/>
        <v/>
      </c>
      <c r="AH204" s="168">
        <f t="shared" si="41"/>
        <v>-50.823741415192416</v>
      </c>
      <c r="AI204" s="168" t="str">
        <f t="shared" si="42"/>
        <v/>
      </c>
      <c r="AJ204" s="167">
        <f t="shared" si="43"/>
        <v>-84.706235691987359</v>
      </c>
      <c r="AK204" s="167">
        <f t="shared" si="44"/>
        <v>655108.99999999988</v>
      </c>
      <c r="AL204" s="167" t="str">
        <f t="shared" si="45"/>
        <v/>
      </c>
      <c r="AM204" s="167">
        <f t="shared" si="46"/>
        <v>30833.069791883401</v>
      </c>
    </row>
    <row r="205" spans="1:39" s="48" customFormat="1" hidden="1" x14ac:dyDescent="0.25">
      <c r="A205" s="128"/>
      <c r="B205" s="128"/>
      <c r="C205" s="128"/>
      <c r="D205" s="128"/>
      <c r="E205" s="128">
        <v>1</v>
      </c>
      <c r="F205" s="128"/>
      <c r="G205" s="128"/>
      <c r="H205" s="128"/>
      <c r="I205" s="128"/>
      <c r="J205" s="99" t="s">
        <v>169</v>
      </c>
      <c r="K205" s="42" t="s">
        <v>512</v>
      </c>
      <c r="L205" s="37">
        <v>4.3</v>
      </c>
      <c r="M205" s="37">
        <v>15</v>
      </c>
      <c r="N205" s="42"/>
      <c r="O205" s="42"/>
      <c r="P205" s="42"/>
      <c r="Q205" s="42"/>
      <c r="R205" s="37"/>
      <c r="S205" s="38">
        <v>8276</v>
      </c>
      <c r="T205" s="43" t="s">
        <v>46</v>
      </c>
      <c r="U205" s="39">
        <v>8072.8</v>
      </c>
      <c r="V205" s="125">
        <f t="shared" si="39"/>
        <v>-203.19999999999982</v>
      </c>
      <c r="W205" s="44"/>
      <c r="X205" s="45"/>
      <c r="Y205" s="124">
        <v>1</v>
      </c>
      <c r="Z205" s="124">
        <v>1</v>
      </c>
      <c r="AA205" s="124"/>
      <c r="AB205" s="124">
        <v>57.99</v>
      </c>
      <c r="AC205" s="130">
        <f t="shared" si="38"/>
        <v>57.99</v>
      </c>
      <c r="AD205" s="45">
        <v>7</v>
      </c>
      <c r="AE205" s="46">
        <v>25</v>
      </c>
      <c r="AF205" s="47">
        <v>15</v>
      </c>
      <c r="AG205" s="167" t="str">
        <f t="shared" si="40"/>
        <v/>
      </c>
      <c r="AH205" s="168">
        <f t="shared" si="41"/>
        <v>-21.357361043982582</v>
      </c>
      <c r="AI205" s="168" t="str">
        <f t="shared" si="42"/>
        <v/>
      </c>
      <c r="AJ205" s="167">
        <f t="shared" si="43"/>
        <v>-35.595601739970974</v>
      </c>
      <c r="AK205" s="167">
        <f t="shared" si="44"/>
        <v>527709</v>
      </c>
      <c r="AL205" s="167" t="str">
        <f t="shared" si="45"/>
        <v/>
      </c>
      <c r="AM205" s="167">
        <f t="shared" si="46"/>
        <v>12956.799033349434</v>
      </c>
    </row>
    <row r="206" spans="1:39" s="48" customFormat="1" hidden="1" x14ac:dyDescent="0.25">
      <c r="A206" s="128"/>
      <c r="B206" s="128"/>
      <c r="C206" s="128"/>
      <c r="D206" s="128"/>
      <c r="E206" s="128">
        <v>1</v>
      </c>
      <c r="F206" s="128"/>
      <c r="G206" s="128"/>
      <c r="H206" s="128"/>
      <c r="I206" s="128"/>
      <c r="J206" s="99" t="s">
        <v>166</v>
      </c>
      <c r="K206" s="42" t="s">
        <v>513</v>
      </c>
      <c r="L206" s="37">
        <v>4.3</v>
      </c>
      <c r="M206" s="37">
        <v>15</v>
      </c>
      <c r="N206" s="42"/>
      <c r="O206" s="42"/>
      <c r="P206" s="42"/>
      <c r="Q206" s="42"/>
      <c r="R206" s="37"/>
      <c r="S206" s="38">
        <v>21022</v>
      </c>
      <c r="T206" s="43" t="s">
        <v>46</v>
      </c>
      <c r="U206" s="39">
        <v>20762.599999999999</v>
      </c>
      <c r="V206" s="125">
        <f t="shared" si="39"/>
        <v>-259.40000000000146</v>
      </c>
      <c r="W206" s="44"/>
      <c r="X206" s="45"/>
      <c r="Y206" s="124">
        <v>1</v>
      </c>
      <c r="Z206" s="124">
        <v>1</v>
      </c>
      <c r="AA206" s="124"/>
      <c r="AB206" s="124">
        <v>39.99</v>
      </c>
      <c r="AC206" s="130">
        <f t="shared" si="38"/>
        <v>39.99</v>
      </c>
      <c r="AD206" s="45">
        <v>7</v>
      </c>
      <c r="AE206" s="46">
        <v>30</v>
      </c>
      <c r="AF206" s="47">
        <v>15</v>
      </c>
      <c r="AG206" s="167" t="str">
        <f t="shared" si="40"/>
        <v/>
      </c>
      <c r="AH206" s="168">
        <f t="shared" si="41"/>
        <v>-7.4018214251736696</v>
      </c>
      <c r="AI206" s="168" t="str">
        <f t="shared" si="42"/>
        <v/>
      </c>
      <c r="AJ206" s="167">
        <f t="shared" si="43"/>
        <v>-14.803642850347339</v>
      </c>
      <c r="AK206" s="167">
        <f t="shared" si="44"/>
        <v>436690.8</v>
      </c>
      <c r="AL206" s="167" t="str">
        <f t="shared" si="45"/>
        <v/>
      </c>
      <c r="AM206" s="167">
        <f t="shared" si="46"/>
        <v>5388.5259975264307</v>
      </c>
    </row>
    <row r="207" spans="1:39" s="48" customFormat="1" hidden="1" x14ac:dyDescent="0.25">
      <c r="A207" s="128"/>
      <c r="B207" s="128"/>
      <c r="C207" s="128"/>
      <c r="D207" s="128"/>
      <c r="E207" s="128">
        <v>1</v>
      </c>
      <c r="F207" s="128"/>
      <c r="G207" s="128"/>
      <c r="H207" s="128"/>
      <c r="I207" s="128"/>
      <c r="J207" s="99" t="s">
        <v>166</v>
      </c>
      <c r="K207" s="42" t="s">
        <v>514</v>
      </c>
      <c r="L207" s="37">
        <v>4.3</v>
      </c>
      <c r="M207" s="37">
        <v>9</v>
      </c>
      <c r="N207" s="42"/>
      <c r="O207" s="42"/>
      <c r="P207" s="42"/>
      <c r="Q207" s="42"/>
      <c r="R207" s="37"/>
      <c r="S207" s="38">
        <v>13508</v>
      </c>
      <c r="T207" s="43" t="s">
        <v>46</v>
      </c>
      <c r="U207" s="39">
        <v>13387.5</v>
      </c>
      <c r="V207" s="125">
        <f t="shared" si="39"/>
        <v>-120.5</v>
      </c>
      <c r="W207" s="44"/>
      <c r="X207" s="45"/>
      <c r="Y207" s="124">
        <v>1</v>
      </c>
      <c r="Z207" s="124">
        <v>1</v>
      </c>
      <c r="AA207" s="124"/>
      <c r="AB207" s="124">
        <v>82.99</v>
      </c>
      <c r="AC207" s="130">
        <f t="shared" si="38"/>
        <v>82.99</v>
      </c>
      <c r="AD207" s="45">
        <v>7</v>
      </c>
      <c r="AE207" s="46">
        <v>30</v>
      </c>
      <c r="AF207" s="47">
        <v>9</v>
      </c>
      <c r="AG207" s="167" t="str">
        <f t="shared" si="40"/>
        <v/>
      </c>
      <c r="AH207" s="168">
        <f t="shared" si="41"/>
        <v>-6.6629149392952325</v>
      </c>
      <c r="AI207" s="168" t="str">
        <f t="shared" si="42"/>
        <v/>
      </c>
      <c r="AJ207" s="167">
        <f t="shared" si="43"/>
        <v>-22.209716464317442</v>
      </c>
      <c r="AK207" s="167">
        <f t="shared" si="44"/>
        <v>906250.79999999993</v>
      </c>
      <c r="AL207" s="167" t="str">
        <f t="shared" si="45"/>
        <v/>
      </c>
      <c r="AM207" s="167">
        <f t="shared" si="46"/>
        <v>8084.3367930115492</v>
      </c>
    </row>
    <row r="208" spans="1:39" s="48" customFormat="1" hidden="1" x14ac:dyDescent="0.25">
      <c r="A208" s="128"/>
      <c r="B208" s="128"/>
      <c r="C208" s="128"/>
      <c r="D208" s="128"/>
      <c r="E208" s="128">
        <v>1</v>
      </c>
      <c r="F208" s="128"/>
      <c r="G208" s="128"/>
      <c r="H208" s="128"/>
      <c r="I208" s="128"/>
      <c r="J208" s="99" t="s">
        <v>166</v>
      </c>
      <c r="K208" s="42" t="s">
        <v>515</v>
      </c>
      <c r="L208" s="37">
        <v>4.3</v>
      </c>
      <c r="M208" s="37">
        <v>11</v>
      </c>
      <c r="N208" s="42"/>
      <c r="O208" s="42"/>
      <c r="P208" s="42"/>
      <c r="Q208" s="42"/>
      <c r="R208" s="37"/>
      <c r="S208" s="38">
        <v>24564</v>
      </c>
      <c r="T208" s="43" t="s">
        <v>46</v>
      </c>
      <c r="U208" s="39">
        <v>24375.8</v>
      </c>
      <c r="V208" s="125">
        <f t="shared" si="39"/>
        <v>-188.20000000000073</v>
      </c>
      <c r="W208" s="44"/>
      <c r="X208" s="45"/>
      <c r="Y208" s="124">
        <v>1</v>
      </c>
      <c r="Z208" s="124">
        <v>1</v>
      </c>
      <c r="AA208" s="124"/>
      <c r="AB208" s="124">
        <v>49.99</v>
      </c>
      <c r="AC208" s="130">
        <f t="shared" si="38"/>
        <v>49.99</v>
      </c>
      <c r="AD208" s="45">
        <v>7</v>
      </c>
      <c r="AE208" s="46">
        <v>30</v>
      </c>
      <c r="AF208" s="47">
        <v>11</v>
      </c>
      <c r="AG208" s="167" t="str">
        <f t="shared" si="40"/>
        <v/>
      </c>
      <c r="AH208" s="168">
        <f t="shared" si="41"/>
        <v>-4.2130474678391305</v>
      </c>
      <c r="AI208" s="168" t="str">
        <f t="shared" si="42"/>
        <v/>
      </c>
      <c r="AJ208" s="167">
        <f t="shared" si="43"/>
        <v>-11.490129457743084</v>
      </c>
      <c r="AK208" s="167">
        <f t="shared" si="44"/>
        <v>545890.79999999993</v>
      </c>
      <c r="AL208" s="167" t="str">
        <f t="shared" si="45"/>
        <v/>
      </c>
      <c r="AM208" s="167">
        <f t="shared" si="46"/>
        <v>4182.4071226184824</v>
      </c>
    </row>
    <row r="209" spans="1:39" s="48" customFormat="1" x14ac:dyDescent="0.25">
      <c r="A209" s="128" t="s">
        <v>508</v>
      </c>
      <c r="B209" s="128" t="s">
        <v>42</v>
      </c>
      <c r="C209" s="128" t="s">
        <v>516</v>
      </c>
      <c r="D209" s="128"/>
      <c r="E209" s="128">
        <v>1</v>
      </c>
      <c r="F209" s="128"/>
      <c r="G209" s="128"/>
      <c r="H209" s="128"/>
      <c r="I209" s="128"/>
      <c r="J209" s="99" t="s">
        <v>141</v>
      </c>
      <c r="K209" s="42"/>
      <c r="L209" s="37">
        <v>4.3</v>
      </c>
      <c r="M209" s="37">
        <v>40</v>
      </c>
      <c r="N209" s="42"/>
      <c r="O209" s="42"/>
      <c r="P209" s="42"/>
      <c r="Q209" s="42"/>
      <c r="R209" s="37"/>
      <c r="S209" s="38">
        <v>700</v>
      </c>
      <c r="T209" s="43" t="s">
        <v>46</v>
      </c>
      <c r="U209" s="39">
        <v>677.69</v>
      </c>
      <c r="V209" s="25">
        <f>-S209+U209</f>
        <v>-22.309999999999945</v>
      </c>
      <c r="W209" s="44"/>
      <c r="X209" s="45"/>
      <c r="Y209" s="124">
        <v>1</v>
      </c>
      <c r="Z209" s="124"/>
      <c r="AA209" s="124"/>
      <c r="AB209" s="124">
        <v>7.5</v>
      </c>
      <c r="AC209" s="130">
        <f t="shared" si="38"/>
        <v>7.5</v>
      </c>
      <c r="AD209" s="45">
        <v>7</v>
      </c>
      <c r="AE209" s="46">
        <v>150</v>
      </c>
      <c r="AF209" s="47">
        <v>40</v>
      </c>
      <c r="AG209" s="167" t="str">
        <f t="shared" si="40"/>
        <v/>
      </c>
      <c r="AH209" s="168">
        <f t="shared" si="41"/>
        <v>-9.5614285714285483</v>
      </c>
      <c r="AI209" s="168" t="str">
        <f t="shared" si="42"/>
        <v/>
      </c>
      <c r="AJ209" s="167">
        <f t="shared" si="43"/>
        <v>-35.855357142857059</v>
      </c>
      <c r="AK209" s="167">
        <f t="shared" si="44"/>
        <v>409500</v>
      </c>
      <c r="AL209" s="167" t="str">
        <f t="shared" si="45"/>
        <v/>
      </c>
      <c r="AM209" s="167">
        <f t="shared" si="46"/>
        <v>13051.349999999969</v>
      </c>
    </row>
    <row r="210" spans="1:39" s="48" customFormat="1" hidden="1" x14ac:dyDescent="0.25">
      <c r="A210" s="128"/>
      <c r="B210" s="128"/>
      <c r="C210" s="128"/>
      <c r="D210" s="128"/>
      <c r="E210" s="128">
        <v>1</v>
      </c>
      <c r="F210" s="128"/>
      <c r="G210" s="128"/>
      <c r="H210" s="128"/>
      <c r="I210" s="128"/>
      <c r="J210" s="99" t="s">
        <v>92</v>
      </c>
      <c r="K210" s="42" t="s">
        <v>517</v>
      </c>
      <c r="L210" s="37">
        <v>4.3</v>
      </c>
      <c r="M210" s="37">
        <v>14</v>
      </c>
      <c r="N210" s="42"/>
      <c r="O210" s="42"/>
      <c r="P210" s="42"/>
      <c r="Q210" s="42"/>
      <c r="R210" s="37"/>
      <c r="S210" s="38">
        <v>7998</v>
      </c>
      <c r="T210" s="43" t="s">
        <v>46</v>
      </c>
      <c r="U210" s="39">
        <v>8006.7</v>
      </c>
      <c r="V210" s="125">
        <f t="shared" si="39"/>
        <v>8.6999999999998181</v>
      </c>
      <c r="W210" s="44"/>
      <c r="X210" s="45"/>
      <c r="Y210" s="124">
        <v>1</v>
      </c>
      <c r="Z210" s="124"/>
      <c r="AA210" s="124"/>
      <c r="AB210" s="124">
        <v>12.99</v>
      </c>
      <c r="AC210" s="130">
        <f t="shared" si="38"/>
        <v>12.99</v>
      </c>
      <c r="AD210" s="45">
        <v>7</v>
      </c>
      <c r="AE210" s="46">
        <v>30</v>
      </c>
      <c r="AF210" s="47">
        <v>14</v>
      </c>
      <c r="AG210" s="167">
        <f t="shared" si="40"/>
        <v>0.19782220555138372</v>
      </c>
      <c r="AH210" s="168" t="str">
        <f t="shared" si="41"/>
        <v/>
      </c>
      <c r="AI210" s="168">
        <f t="shared" si="42"/>
        <v>0.42390472618153657</v>
      </c>
      <c r="AJ210" s="167" t="str">
        <f t="shared" si="43"/>
        <v/>
      </c>
      <c r="AK210" s="167">
        <f t="shared" si="44"/>
        <v>141850.80000000002</v>
      </c>
      <c r="AL210" s="167">
        <f t="shared" si="45"/>
        <v>154.30132033007931</v>
      </c>
      <c r="AM210" s="167" t="str">
        <f t="shared" si="46"/>
        <v/>
      </c>
    </row>
    <row r="211" spans="1:39" s="48" customFormat="1" hidden="1" x14ac:dyDescent="0.25">
      <c r="A211" s="128"/>
      <c r="B211" s="128"/>
      <c r="C211" s="128"/>
      <c r="D211" s="128"/>
      <c r="E211" s="128">
        <v>1</v>
      </c>
      <c r="F211" s="128"/>
      <c r="G211" s="128"/>
      <c r="H211" s="128"/>
      <c r="I211" s="128"/>
      <c r="J211" s="99" t="s">
        <v>92</v>
      </c>
      <c r="K211" s="42" t="s">
        <v>518</v>
      </c>
      <c r="L211" s="37">
        <v>4.3</v>
      </c>
      <c r="M211" s="37">
        <v>15</v>
      </c>
      <c r="N211" s="42"/>
      <c r="O211" s="42"/>
      <c r="P211" s="42"/>
      <c r="Q211" s="42"/>
      <c r="R211" s="37"/>
      <c r="S211" s="38">
        <v>20306</v>
      </c>
      <c r="T211" s="43" t="s">
        <v>46</v>
      </c>
      <c r="U211" s="39">
        <v>22249</v>
      </c>
      <c r="V211" s="125">
        <f t="shared" si="39"/>
        <v>1943</v>
      </c>
      <c r="W211" s="44"/>
      <c r="X211" s="45"/>
      <c r="Y211" s="124">
        <v>1</v>
      </c>
      <c r="Z211" s="124"/>
      <c r="AA211" s="124"/>
      <c r="AB211" s="124">
        <v>9.99</v>
      </c>
      <c r="AC211" s="130">
        <f t="shared" si="38"/>
        <v>9.99</v>
      </c>
      <c r="AD211" s="45">
        <v>7</v>
      </c>
      <c r="AE211" s="46">
        <v>25</v>
      </c>
      <c r="AF211" s="47">
        <v>15</v>
      </c>
      <c r="AG211" s="167">
        <f t="shared" si="40"/>
        <v>14.338547719885748</v>
      </c>
      <c r="AH211" s="168" t="str">
        <f t="shared" si="41"/>
        <v/>
      </c>
      <c r="AI211" s="168">
        <f t="shared" si="42"/>
        <v>23.897579533142913</v>
      </c>
      <c r="AJ211" s="167" t="str">
        <f t="shared" si="43"/>
        <v/>
      </c>
      <c r="AK211" s="167">
        <f t="shared" si="44"/>
        <v>90909</v>
      </c>
      <c r="AL211" s="167">
        <f t="shared" si="45"/>
        <v>8698.7189500640216</v>
      </c>
      <c r="AM211" s="167" t="str">
        <f t="shared" si="46"/>
        <v/>
      </c>
    </row>
    <row r="212" spans="1:39" s="48" customFormat="1" hidden="1" x14ac:dyDescent="0.25">
      <c r="A212" s="128"/>
      <c r="B212" s="128"/>
      <c r="C212" s="128"/>
      <c r="D212" s="128"/>
      <c r="E212" s="128">
        <v>1</v>
      </c>
      <c r="F212" s="128"/>
      <c r="G212" s="128"/>
      <c r="H212" s="128"/>
      <c r="I212" s="128"/>
      <c r="J212" s="99" t="s">
        <v>92</v>
      </c>
      <c r="K212" s="42" t="s">
        <v>519</v>
      </c>
      <c r="L212" s="37">
        <v>4.3</v>
      </c>
      <c r="M212" s="37">
        <v>12</v>
      </c>
      <c r="N212" s="42"/>
      <c r="O212" s="42"/>
      <c r="P212" s="42"/>
      <c r="Q212" s="42"/>
      <c r="R212" s="37"/>
      <c r="S212" s="38">
        <v>32284</v>
      </c>
      <c r="T212" s="43" t="s">
        <v>46</v>
      </c>
      <c r="U212" s="39">
        <v>32128.9</v>
      </c>
      <c r="V212" s="125">
        <f t="shared" si="39"/>
        <v>-155.09999999999854</v>
      </c>
      <c r="W212" s="44"/>
      <c r="X212" s="45"/>
      <c r="Y212" s="124">
        <v>1</v>
      </c>
      <c r="Z212" s="124"/>
      <c r="AA212" s="124"/>
      <c r="AB212" s="124">
        <v>9.99</v>
      </c>
      <c r="AC212" s="130">
        <f t="shared" si="38"/>
        <v>9.99</v>
      </c>
      <c r="AD212" s="45">
        <v>7</v>
      </c>
      <c r="AE212" s="46">
        <v>25</v>
      </c>
      <c r="AF212" s="47">
        <v>12</v>
      </c>
      <c r="AG212" s="167" t="str">
        <f t="shared" si="40"/>
        <v/>
      </c>
      <c r="AH212" s="168">
        <f t="shared" si="41"/>
        <v>-0.57593197868912849</v>
      </c>
      <c r="AI212" s="168" t="str">
        <f t="shared" si="42"/>
        <v/>
      </c>
      <c r="AJ212" s="167">
        <f t="shared" si="43"/>
        <v>-1.1998582889356844</v>
      </c>
      <c r="AK212" s="167">
        <f t="shared" si="44"/>
        <v>90909</v>
      </c>
      <c r="AL212" s="167" t="str">
        <f t="shared" si="45"/>
        <v/>
      </c>
      <c r="AM212" s="167">
        <f t="shared" si="46"/>
        <v>436.74841717258909</v>
      </c>
    </row>
    <row r="213" spans="1:39" s="48" customFormat="1" hidden="1" x14ac:dyDescent="0.25">
      <c r="A213" s="128"/>
      <c r="B213" s="128"/>
      <c r="C213" s="128"/>
      <c r="D213" s="128">
        <v>1</v>
      </c>
      <c r="E213" s="128"/>
      <c r="F213" s="128"/>
      <c r="G213" s="128"/>
      <c r="H213" s="128"/>
      <c r="I213" s="128"/>
      <c r="J213" s="99" t="s">
        <v>92</v>
      </c>
      <c r="K213" s="42" t="s">
        <v>520</v>
      </c>
      <c r="L213" s="37">
        <v>4.3</v>
      </c>
      <c r="M213" s="37">
        <v>41</v>
      </c>
      <c r="N213" s="42"/>
      <c r="O213" s="42"/>
      <c r="P213" s="42"/>
      <c r="Q213" s="42"/>
      <c r="R213" s="37"/>
      <c r="S213" s="38">
        <v>1000</v>
      </c>
      <c r="T213" s="43" t="s">
        <v>46</v>
      </c>
      <c r="U213" s="39">
        <v>1028.8</v>
      </c>
      <c r="V213" s="125">
        <f t="shared" si="39"/>
        <v>28.799999999999955</v>
      </c>
      <c r="W213" s="44"/>
      <c r="X213" s="45"/>
      <c r="Y213" s="124">
        <v>1</v>
      </c>
      <c r="Z213" s="124"/>
      <c r="AA213" s="124"/>
      <c r="AB213" s="124">
        <v>11.99</v>
      </c>
      <c r="AC213" s="130">
        <f t="shared" si="38"/>
        <v>11.99</v>
      </c>
      <c r="AD213" s="45">
        <v>7</v>
      </c>
      <c r="AE213" s="46">
        <v>60</v>
      </c>
      <c r="AF213" s="47">
        <v>41</v>
      </c>
      <c r="AG213" s="167">
        <f t="shared" si="40"/>
        <v>14.157791999999978</v>
      </c>
      <c r="AH213" s="168" t="str">
        <f t="shared" si="41"/>
        <v/>
      </c>
      <c r="AI213" s="168">
        <f t="shared" si="42"/>
        <v>20.718719999999966</v>
      </c>
      <c r="AJ213" s="167" t="str">
        <f t="shared" si="43"/>
        <v/>
      </c>
      <c r="AK213" s="167">
        <f t="shared" si="44"/>
        <v>261861.6</v>
      </c>
      <c r="AL213" s="167">
        <f t="shared" si="45"/>
        <v>7541.6140799999876</v>
      </c>
      <c r="AM213" s="167" t="str">
        <f t="shared" si="46"/>
        <v/>
      </c>
    </row>
    <row r="214" spans="1:39" s="48" customFormat="1" hidden="1" x14ac:dyDescent="0.25">
      <c r="A214" s="128"/>
      <c r="B214" s="128"/>
      <c r="C214" s="128"/>
      <c r="D214" s="128"/>
      <c r="E214" s="128">
        <v>1</v>
      </c>
      <c r="F214" s="128"/>
      <c r="G214" s="128"/>
      <c r="H214" s="128"/>
      <c r="I214" s="128"/>
      <c r="J214" s="99" t="s">
        <v>92</v>
      </c>
      <c r="K214" s="42" t="s">
        <v>521</v>
      </c>
      <c r="L214" s="37">
        <v>4.3</v>
      </c>
      <c r="M214" s="37">
        <v>29</v>
      </c>
      <c r="N214" s="42"/>
      <c r="O214" s="42"/>
      <c r="P214" s="42"/>
      <c r="Q214" s="42"/>
      <c r="R214" s="37"/>
      <c r="S214" s="38">
        <v>1000</v>
      </c>
      <c r="T214" s="43" t="s">
        <v>46</v>
      </c>
      <c r="U214" s="39">
        <v>1017.5</v>
      </c>
      <c r="V214" s="125">
        <f t="shared" si="39"/>
        <v>17.5</v>
      </c>
      <c r="W214" s="44"/>
      <c r="X214" s="45"/>
      <c r="Y214" s="124">
        <v>1</v>
      </c>
      <c r="Z214" s="124"/>
      <c r="AA214" s="124"/>
      <c r="AB214" s="124">
        <v>9.99</v>
      </c>
      <c r="AC214" s="130">
        <f t="shared" si="38"/>
        <v>9.99</v>
      </c>
      <c r="AD214" s="45">
        <v>7</v>
      </c>
      <c r="AE214" s="46">
        <v>50</v>
      </c>
      <c r="AF214" s="47">
        <v>29</v>
      </c>
      <c r="AG214" s="167">
        <f t="shared" si="40"/>
        <v>5.0699250000000005</v>
      </c>
      <c r="AH214" s="168" t="str">
        <f t="shared" si="41"/>
        <v/>
      </c>
      <c r="AI214" s="168">
        <f t="shared" si="42"/>
        <v>8.7412500000000009</v>
      </c>
      <c r="AJ214" s="167" t="str">
        <f t="shared" si="43"/>
        <v/>
      </c>
      <c r="AK214" s="167">
        <f t="shared" si="44"/>
        <v>181818</v>
      </c>
      <c r="AL214" s="167">
        <f t="shared" si="45"/>
        <v>3181.8150000000005</v>
      </c>
      <c r="AM214" s="167" t="str">
        <f t="shared" si="46"/>
        <v/>
      </c>
    </row>
    <row r="215" spans="1:39" s="48" customFormat="1" ht="24.75" hidden="1" x14ac:dyDescent="0.25">
      <c r="A215" s="124" t="s">
        <v>522</v>
      </c>
      <c r="B215" s="124" t="s">
        <v>201</v>
      </c>
      <c r="C215" s="124" t="s">
        <v>523</v>
      </c>
      <c r="D215" s="124"/>
      <c r="E215" s="124">
        <v>1</v>
      </c>
      <c r="F215" s="124"/>
      <c r="G215" s="124">
        <v>1</v>
      </c>
      <c r="H215" s="124">
        <v>1</v>
      </c>
      <c r="I215" s="124"/>
      <c r="J215" s="99" t="s">
        <v>193</v>
      </c>
      <c r="K215" s="37" t="s">
        <v>524</v>
      </c>
      <c r="L215" s="37">
        <v>4.5</v>
      </c>
      <c r="M215" s="37"/>
      <c r="N215" s="37"/>
      <c r="O215" s="37"/>
      <c r="P215" s="37">
        <v>1</v>
      </c>
      <c r="Q215" s="37"/>
      <c r="R215" s="37"/>
      <c r="S215" s="38">
        <v>25000</v>
      </c>
      <c r="T215" s="38" t="s">
        <v>46</v>
      </c>
      <c r="U215" s="39">
        <v>25176.19</v>
      </c>
      <c r="V215" s="125">
        <f t="shared" si="39"/>
        <v>176.18999999999869</v>
      </c>
      <c r="W215" s="79">
        <v>27</v>
      </c>
      <c r="X215" s="40"/>
      <c r="Y215" s="124">
        <v>1</v>
      </c>
      <c r="Z215" s="124">
        <v>0</v>
      </c>
      <c r="AA215" s="124"/>
      <c r="AB215" s="124"/>
      <c r="AC215" s="130">
        <v>125</v>
      </c>
      <c r="AD215" s="40">
        <v>7</v>
      </c>
      <c r="AE215" s="41">
        <v>450</v>
      </c>
      <c r="AF215" s="80">
        <v>540</v>
      </c>
      <c r="AG215" s="167">
        <f t="shared" si="40"/>
        <v>475.71299999999644</v>
      </c>
      <c r="AH215" s="168" t="str">
        <f t="shared" si="41"/>
        <v/>
      </c>
      <c r="AI215" s="168">
        <f t="shared" si="42"/>
        <v>396.42749999999705</v>
      </c>
      <c r="AJ215" s="167" t="str">
        <f t="shared" si="43"/>
        <v/>
      </c>
      <c r="AK215" s="167">
        <f t="shared" si="44"/>
        <v>20475000</v>
      </c>
      <c r="AL215" s="167">
        <f t="shared" si="45"/>
        <v>144299.60999999894</v>
      </c>
      <c r="AM215" s="167" t="str">
        <f t="shared" si="46"/>
        <v/>
      </c>
    </row>
    <row r="216" spans="1:39" s="48" customFormat="1" ht="24.75" hidden="1" x14ac:dyDescent="0.25">
      <c r="A216" s="128"/>
      <c r="B216" s="128"/>
      <c r="C216" s="128"/>
      <c r="D216" s="128"/>
      <c r="E216" s="128"/>
      <c r="F216" s="128"/>
      <c r="G216" s="128">
        <v>1</v>
      </c>
      <c r="H216" s="124">
        <v>1</v>
      </c>
      <c r="I216" s="124"/>
      <c r="J216" s="99" t="s">
        <v>193</v>
      </c>
      <c r="K216" s="37" t="s">
        <v>525</v>
      </c>
      <c r="L216" s="37">
        <v>4.5</v>
      </c>
      <c r="M216" s="37"/>
      <c r="N216" s="42"/>
      <c r="O216" s="42"/>
      <c r="P216" s="42">
        <v>1</v>
      </c>
      <c r="Q216" s="42"/>
      <c r="R216" s="37"/>
      <c r="S216" s="38">
        <v>25000</v>
      </c>
      <c r="T216" s="43" t="s">
        <v>46</v>
      </c>
      <c r="U216" s="39">
        <v>25001</v>
      </c>
      <c r="V216" s="129">
        <f t="shared" si="39"/>
        <v>1</v>
      </c>
      <c r="W216" s="44">
        <v>14</v>
      </c>
      <c r="X216" s="45">
        <v>1</v>
      </c>
      <c r="Y216" s="124">
        <v>1</v>
      </c>
      <c r="Z216" s="124">
        <v>0</v>
      </c>
      <c r="AA216" s="124"/>
      <c r="AB216" s="124"/>
      <c r="AC216" s="130">
        <v>145</v>
      </c>
      <c r="AD216" s="45">
        <v>7</v>
      </c>
      <c r="AE216" s="46">
        <v>200</v>
      </c>
      <c r="AF216" s="47">
        <v>540</v>
      </c>
      <c r="AG216" s="167">
        <f t="shared" si="40"/>
        <v>3.1319999999999997</v>
      </c>
      <c r="AH216" s="168" t="str">
        <f t="shared" si="41"/>
        <v/>
      </c>
      <c r="AI216" s="168">
        <f t="shared" si="42"/>
        <v>1.1599999999999999</v>
      </c>
      <c r="AJ216" s="167" t="str">
        <f t="shared" si="43"/>
        <v/>
      </c>
      <c r="AK216" s="167">
        <f t="shared" si="44"/>
        <v>10556000</v>
      </c>
      <c r="AL216" s="167">
        <f t="shared" si="45"/>
        <v>422.23999999999995</v>
      </c>
      <c r="AM216" s="167" t="str">
        <f t="shared" si="46"/>
        <v/>
      </c>
    </row>
    <row r="217" spans="1:39" s="48" customFormat="1" x14ac:dyDescent="0.25">
      <c r="A217" s="128" t="s">
        <v>526</v>
      </c>
      <c r="B217" s="128" t="s">
        <v>203</v>
      </c>
      <c r="C217" s="128" t="s">
        <v>527</v>
      </c>
      <c r="D217" s="128"/>
      <c r="E217" s="128">
        <v>1</v>
      </c>
      <c r="F217" s="128"/>
      <c r="G217" s="128">
        <v>1</v>
      </c>
      <c r="H217" s="128">
        <v>1</v>
      </c>
      <c r="I217" s="128"/>
      <c r="J217" s="99" t="s">
        <v>196</v>
      </c>
      <c r="K217" s="42" t="s">
        <v>48</v>
      </c>
      <c r="L217" s="37">
        <v>4.5</v>
      </c>
      <c r="M217" s="37"/>
      <c r="N217" s="42"/>
      <c r="O217" s="42"/>
      <c r="P217" s="42">
        <v>1</v>
      </c>
      <c r="Q217" s="42"/>
      <c r="R217" s="37"/>
      <c r="S217" s="38">
        <v>600</v>
      </c>
      <c r="T217" s="43" t="s">
        <v>46</v>
      </c>
      <c r="U217" s="39">
        <v>596</v>
      </c>
      <c r="V217" s="25">
        <f t="shared" si="39"/>
        <v>-4</v>
      </c>
      <c r="W217" s="44">
        <v>4</v>
      </c>
      <c r="X217" s="45"/>
      <c r="Y217" s="124">
        <v>1</v>
      </c>
      <c r="Z217" s="124">
        <v>0</v>
      </c>
      <c r="AA217" s="124"/>
      <c r="AB217" s="124"/>
      <c r="AC217" s="130">
        <v>4.8</v>
      </c>
      <c r="AD217" s="45">
        <v>5</v>
      </c>
      <c r="AE217" s="46">
        <v>1000</v>
      </c>
      <c r="AF217" s="47">
        <v>780</v>
      </c>
      <c r="AG217" s="167" t="str">
        <f t="shared" si="40"/>
        <v/>
      </c>
      <c r="AH217" s="168">
        <f t="shared" si="41"/>
        <v>-24.96</v>
      </c>
      <c r="AI217" s="168" t="str">
        <f t="shared" si="42"/>
        <v/>
      </c>
      <c r="AJ217" s="167">
        <f t="shared" si="43"/>
        <v>-32</v>
      </c>
      <c r="AK217" s="167">
        <f t="shared" si="44"/>
        <v>1248000</v>
      </c>
      <c r="AL217" s="167" t="str">
        <f t="shared" si="45"/>
        <v/>
      </c>
      <c r="AM217" s="167">
        <f t="shared" si="46"/>
        <v>8320</v>
      </c>
    </row>
    <row r="218" spans="1:39" s="48" customFormat="1" x14ac:dyDescent="0.25">
      <c r="A218" s="128"/>
      <c r="B218" s="128"/>
      <c r="C218" s="128"/>
      <c r="D218" s="128"/>
      <c r="E218" s="128"/>
      <c r="F218" s="128"/>
      <c r="G218" s="128"/>
      <c r="H218" s="128"/>
      <c r="I218" s="128"/>
      <c r="J218" s="99" t="s">
        <v>196</v>
      </c>
      <c r="K218" s="42" t="s">
        <v>204</v>
      </c>
      <c r="L218" s="37">
        <v>4.5</v>
      </c>
      <c r="M218" s="37"/>
      <c r="N218" s="42"/>
      <c r="O218" s="42">
        <v>0</v>
      </c>
      <c r="P218" s="42">
        <v>1</v>
      </c>
      <c r="Q218" s="42"/>
      <c r="R218" s="37"/>
      <c r="S218" s="38">
        <v>600</v>
      </c>
      <c r="T218" s="43" t="s">
        <v>46</v>
      </c>
      <c r="U218" s="39">
        <v>602.76</v>
      </c>
      <c r="V218" s="25">
        <f t="shared" si="39"/>
        <v>2.7599999999999909</v>
      </c>
      <c r="W218" s="44">
        <v>0</v>
      </c>
      <c r="X218" s="45">
        <v>0</v>
      </c>
      <c r="Y218" s="124">
        <v>1</v>
      </c>
      <c r="Z218" s="124">
        <v>0</v>
      </c>
      <c r="AA218" s="124"/>
      <c r="AB218" s="124"/>
      <c r="AC218" s="130">
        <v>4.8</v>
      </c>
      <c r="AD218" s="45">
        <v>5</v>
      </c>
      <c r="AE218" s="46">
        <v>1000</v>
      </c>
      <c r="AF218" s="47">
        <v>400</v>
      </c>
      <c r="AG218" s="167">
        <f t="shared" si="40"/>
        <v>8.8319999999999705</v>
      </c>
      <c r="AH218" s="168" t="str">
        <f t="shared" si="41"/>
        <v/>
      </c>
      <c r="AI218" s="168">
        <f t="shared" si="42"/>
        <v>22.079999999999927</v>
      </c>
      <c r="AJ218" s="167" t="str">
        <f t="shared" si="43"/>
        <v/>
      </c>
      <c r="AK218" s="167">
        <f t="shared" si="44"/>
        <v>1248000</v>
      </c>
      <c r="AL218" s="167">
        <f t="shared" si="45"/>
        <v>5740.7999999999811</v>
      </c>
      <c r="AM218" s="167" t="str">
        <f t="shared" si="46"/>
        <v/>
      </c>
    </row>
    <row r="219" spans="1:39" s="48" customFormat="1" x14ac:dyDescent="0.25">
      <c r="A219" s="124" t="s">
        <v>212</v>
      </c>
      <c r="B219" s="124" t="s">
        <v>201</v>
      </c>
      <c r="C219" s="124" t="s">
        <v>213</v>
      </c>
      <c r="D219" s="124"/>
      <c r="E219" s="124">
        <v>1</v>
      </c>
      <c r="F219" s="124"/>
      <c r="G219" s="124">
        <v>0</v>
      </c>
      <c r="H219" s="124"/>
      <c r="I219" s="124"/>
      <c r="J219" s="99" t="s">
        <v>140</v>
      </c>
      <c r="K219" s="37" t="s">
        <v>214</v>
      </c>
      <c r="L219" s="37">
        <v>4.5</v>
      </c>
      <c r="M219" s="37">
        <v>80</v>
      </c>
      <c r="N219" s="37"/>
      <c r="O219" s="37"/>
      <c r="P219" s="37">
        <v>1</v>
      </c>
      <c r="Q219" s="37"/>
      <c r="R219" s="37"/>
      <c r="S219" s="38">
        <v>800</v>
      </c>
      <c r="U219" s="38">
        <v>822.2</v>
      </c>
      <c r="V219" s="25">
        <f t="shared" si="39"/>
        <v>22.200000000000045</v>
      </c>
      <c r="W219" s="79">
        <v>0</v>
      </c>
      <c r="X219" s="40">
        <v>0</v>
      </c>
      <c r="Y219" s="124">
        <v>1</v>
      </c>
      <c r="Z219" s="124"/>
      <c r="AA219" s="124"/>
      <c r="AB219" s="124">
        <v>13.1</v>
      </c>
      <c r="AC219" s="130">
        <f t="shared" ref="AC219:AC224" si="47">IF(AA219&gt;0,AA219/1000*U219/R219,AB219)</f>
        <v>13.1</v>
      </c>
      <c r="AD219" s="40">
        <v>7</v>
      </c>
      <c r="AE219" s="41">
        <v>1700</v>
      </c>
      <c r="AF219" s="80">
        <v>9720</v>
      </c>
      <c r="AG219" s="167">
        <f t="shared" si="40"/>
        <v>3533.4630000000075</v>
      </c>
      <c r="AH219" s="168" t="str">
        <f t="shared" si="41"/>
        <v/>
      </c>
      <c r="AI219" s="168">
        <f t="shared" si="42"/>
        <v>617.99250000000131</v>
      </c>
      <c r="AJ219" s="167" t="str">
        <f t="shared" si="43"/>
        <v/>
      </c>
      <c r="AK219" s="167">
        <f t="shared" si="44"/>
        <v>8106280</v>
      </c>
      <c r="AL219" s="167">
        <f t="shared" si="45"/>
        <v>224949.27000000048</v>
      </c>
      <c r="AM219" s="167" t="str">
        <f t="shared" si="46"/>
        <v/>
      </c>
    </row>
    <row r="220" spans="1:39" s="48" customFormat="1" x14ac:dyDescent="0.25">
      <c r="A220" s="128"/>
      <c r="B220" s="128"/>
      <c r="C220" s="128"/>
      <c r="D220" s="128"/>
      <c r="E220" s="128"/>
      <c r="F220" s="128"/>
      <c r="G220" s="128"/>
      <c r="H220" s="124"/>
      <c r="I220" s="124"/>
      <c r="J220" s="99" t="s">
        <v>140</v>
      </c>
      <c r="K220" s="37" t="s">
        <v>215</v>
      </c>
      <c r="L220" s="37">
        <v>4.5</v>
      </c>
      <c r="M220" s="37">
        <v>80</v>
      </c>
      <c r="N220" s="42"/>
      <c r="O220" s="42"/>
      <c r="P220" s="42">
        <v>1</v>
      </c>
      <c r="Q220" s="42"/>
      <c r="R220" s="37"/>
      <c r="S220" s="43">
        <v>700</v>
      </c>
      <c r="U220" s="38">
        <v>717.5</v>
      </c>
      <c r="V220" s="25">
        <f t="shared" si="39"/>
        <v>17.5</v>
      </c>
      <c r="W220" s="44">
        <v>0</v>
      </c>
      <c r="X220" s="45">
        <v>0</v>
      </c>
      <c r="Y220" s="124">
        <v>1</v>
      </c>
      <c r="Z220" s="124"/>
      <c r="AA220" s="124"/>
      <c r="AB220" s="124">
        <v>12.3</v>
      </c>
      <c r="AC220" s="130">
        <f t="shared" si="47"/>
        <v>12.3</v>
      </c>
      <c r="AD220" s="45">
        <v>7</v>
      </c>
      <c r="AE220" s="46">
        <v>1100</v>
      </c>
      <c r="AF220" s="47">
        <v>450</v>
      </c>
      <c r="AG220" s="167">
        <f t="shared" si="40"/>
        <v>138.375</v>
      </c>
      <c r="AH220" s="168" t="str">
        <f t="shared" si="41"/>
        <v/>
      </c>
      <c r="AI220" s="168">
        <f t="shared" si="42"/>
        <v>338.25</v>
      </c>
      <c r="AJ220" s="167" t="str">
        <f t="shared" si="43"/>
        <v/>
      </c>
      <c r="AK220" s="167">
        <f t="shared" si="44"/>
        <v>4924920</v>
      </c>
      <c r="AL220" s="167">
        <f t="shared" si="45"/>
        <v>123123</v>
      </c>
      <c r="AM220" s="167" t="str">
        <f t="shared" si="46"/>
        <v/>
      </c>
    </row>
    <row r="221" spans="1:39" s="48" customFormat="1" x14ac:dyDescent="0.25">
      <c r="A221" s="128"/>
      <c r="B221" s="128"/>
      <c r="C221" s="128"/>
      <c r="D221" s="128"/>
      <c r="E221" s="128"/>
      <c r="F221" s="128"/>
      <c r="G221" s="128"/>
      <c r="H221" s="128"/>
      <c r="I221" s="128"/>
      <c r="J221" s="99" t="s">
        <v>140</v>
      </c>
      <c r="K221" s="42" t="s">
        <v>216</v>
      </c>
      <c r="L221" s="37">
        <v>4.5</v>
      </c>
      <c r="M221" s="37">
        <v>80</v>
      </c>
      <c r="N221" s="42"/>
      <c r="O221" s="42"/>
      <c r="P221" s="42">
        <v>1</v>
      </c>
      <c r="Q221" s="42"/>
      <c r="R221" s="37"/>
      <c r="S221" s="43">
        <v>700</v>
      </c>
      <c r="U221" s="38">
        <v>733.7</v>
      </c>
      <c r="V221" s="25">
        <f t="shared" si="39"/>
        <v>33.700000000000045</v>
      </c>
      <c r="W221" s="44">
        <v>0</v>
      </c>
      <c r="X221" s="45">
        <v>0</v>
      </c>
      <c r="Y221" s="124">
        <v>1</v>
      </c>
      <c r="Z221" s="124"/>
      <c r="AA221" s="124"/>
      <c r="AB221" s="124">
        <v>12.3</v>
      </c>
      <c r="AC221" s="130">
        <f t="shared" si="47"/>
        <v>12.3</v>
      </c>
      <c r="AD221" s="45">
        <v>7</v>
      </c>
      <c r="AE221" s="46">
        <v>1100</v>
      </c>
      <c r="AF221" s="47">
        <v>350</v>
      </c>
      <c r="AG221" s="167">
        <f t="shared" si="40"/>
        <v>207.25500000000025</v>
      </c>
      <c r="AH221" s="168" t="str">
        <f t="shared" si="41"/>
        <v/>
      </c>
      <c r="AI221" s="168">
        <f t="shared" si="42"/>
        <v>651.37285714285792</v>
      </c>
      <c r="AJ221" s="167" t="str">
        <f t="shared" si="43"/>
        <v/>
      </c>
      <c r="AK221" s="167">
        <f t="shared" si="44"/>
        <v>4924920</v>
      </c>
      <c r="AL221" s="167">
        <f t="shared" si="45"/>
        <v>237099.72000000026</v>
      </c>
      <c r="AM221" s="167" t="str">
        <f t="shared" si="46"/>
        <v/>
      </c>
    </row>
    <row r="222" spans="1:39" s="48" customFormat="1" x14ac:dyDescent="0.25">
      <c r="A222" s="128"/>
      <c r="B222" s="128"/>
      <c r="C222" s="128"/>
      <c r="D222" s="128"/>
      <c r="E222" s="128"/>
      <c r="F222" s="128"/>
      <c r="G222" s="128"/>
      <c r="H222" s="128"/>
      <c r="I222" s="128"/>
      <c r="J222" s="99" t="s">
        <v>140</v>
      </c>
      <c r="K222" s="42" t="s">
        <v>217</v>
      </c>
      <c r="L222" s="37">
        <v>4.5</v>
      </c>
      <c r="M222" s="37">
        <v>80</v>
      </c>
      <c r="N222" s="42"/>
      <c r="O222" s="42"/>
      <c r="P222" s="42">
        <v>1</v>
      </c>
      <c r="Q222" s="42"/>
      <c r="R222" s="37"/>
      <c r="S222" s="43">
        <v>800</v>
      </c>
      <c r="U222" s="38">
        <v>824.9</v>
      </c>
      <c r="V222" s="25">
        <f t="shared" si="39"/>
        <v>24.899999999999977</v>
      </c>
      <c r="W222" s="44">
        <v>0</v>
      </c>
      <c r="X222" s="45">
        <v>0</v>
      </c>
      <c r="Y222" s="124">
        <v>1</v>
      </c>
      <c r="Z222" s="124"/>
      <c r="AA222" s="124"/>
      <c r="AB222" s="124">
        <v>13.1</v>
      </c>
      <c r="AC222" s="130">
        <f t="shared" si="47"/>
        <v>13.1</v>
      </c>
      <c r="AD222" s="45">
        <v>7</v>
      </c>
      <c r="AE222" s="46">
        <v>12500</v>
      </c>
      <c r="AF222" s="47">
        <v>7980</v>
      </c>
      <c r="AG222" s="167">
        <f t="shared" si="40"/>
        <v>3253.7452499999972</v>
      </c>
      <c r="AH222" s="168" t="str">
        <f t="shared" si="41"/>
        <v/>
      </c>
      <c r="AI222" s="168">
        <f t="shared" si="42"/>
        <v>5096.7187499999955</v>
      </c>
      <c r="AJ222" s="167" t="str">
        <f t="shared" si="43"/>
        <v/>
      </c>
      <c r="AK222" s="167">
        <f t="shared" si="44"/>
        <v>59605000</v>
      </c>
      <c r="AL222" s="167">
        <f t="shared" si="45"/>
        <v>1855205.6249999986</v>
      </c>
      <c r="AM222" s="167" t="str">
        <f t="shared" si="46"/>
        <v/>
      </c>
    </row>
    <row r="223" spans="1:39" s="48" customFormat="1" x14ac:dyDescent="0.25">
      <c r="A223" s="128" t="s">
        <v>218</v>
      </c>
      <c r="B223" s="128" t="s">
        <v>42</v>
      </c>
      <c r="C223" s="128" t="s">
        <v>219</v>
      </c>
      <c r="D223" s="128"/>
      <c r="E223" s="128">
        <v>1</v>
      </c>
      <c r="F223" s="128"/>
      <c r="G223" s="128">
        <v>0</v>
      </c>
      <c r="H223" s="128"/>
      <c r="I223" s="128"/>
      <c r="J223" s="99" t="s">
        <v>142</v>
      </c>
      <c r="K223" s="42" t="s">
        <v>48</v>
      </c>
      <c r="L223" s="37">
        <v>4.5</v>
      </c>
      <c r="M223" s="37">
        <v>50</v>
      </c>
      <c r="N223" s="42"/>
      <c r="O223" s="42"/>
      <c r="P223" s="42">
        <v>1</v>
      </c>
      <c r="Q223" s="42"/>
      <c r="R223" s="37"/>
      <c r="S223" s="43">
        <v>700</v>
      </c>
      <c r="U223" s="38">
        <v>727.8</v>
      </c>
      <c r="V223" s="25">
        <f t="shared" si="39"/>
        <v>27.799999999999955</v>
      </c>
      <c r="W223" s="44">
        <v>0</v>
      </c>
      <c r="X223" s="45">
        <v>0</v>
      </c>
      <c r="Y223" s="124">
        <v>1</v>
      </c>
      <c r="Z223" s="124"/>
      <c r="AA223" s="124"/>
      <c r="AB223" s="124">
        <v>6.59</v>
      </c>
      <c r="AC223" s="130">
        <f t="shared" si="47"/>
        <v>6.59</v>
      </c>
      <c r="AD223" s="45">
        <v>7</v>
      </c>
      <c r="AE223" s="46">
        <v>360</v>
      </c>
      <c r="AF223" s="47">
        <v>80</v>
      </c>
      <c r="AG223" s="167">
        <f t="shared" si="40"/>
        <v>20.937371428571396</v>
      </c>
      <c r="AH223" s="168" t="str">
        <f t="shared" si="41"/>
        <v/>
      </c>
      <c r="AI223" s="168">
        <f t="shared" si="42"/>
        <v>94.218171428571267</v>
      </c>
      <c r="AJ223" s="167" t="str">
        <f t="shared" si="43"/>
        <v/>
      </c>
      <c r="AK223" s="167">
        <f t="shared" si="44"/>
        <v>863553.6</v>
      </c>
      <c r="AL223" s="167">
        <f t="shared" si="45"/>
        <v>34295.414399999943</v>
      </c>
      <c r="AM223" s="167" t="str">
        <f t="shared" si="46"/>
        <v/>
      </c>
    </row>
    <row r="224" spans="1:39" s="48" customFormat="1" x14ac:dyDescent="0.25">
      <c r="A224" s="128"/>
      <c r="B224" s="128"/>
      <c r="C224" s="128"/>
      <c r="D224" s="128"/>
      <c r="E224" s="128"/>
      <c r="F224" s="128"/>
      <c r="G224" s="128"/>
      <c r="H224" s="128"/>
      <c r="I224" s="128"/>
      <c r="J224" s="99" t="s">
        <v>141</v>
      </c>
      <c r="K224" s="42" t="s">
        <v>204</v>
      </c>
      <c r="L224" s="37">
        <v>4.5</v>
      </c>
      <c r="M224" s="37">
        <v>50</v>
      </c>
      <c r="N224" s="42"/>
      <c r="O224" s="42"/>
      <c r="P224" s="42">
        <v>1</v>
      </c>
      <c r="Q224" s="42"/>
      <c r="R224" s="37"/>
      <c r="S224" s="43">
        <v>700</v>
      </c>
      <c r="U224" s="38">
        <v>716.9</v>
      </c>
      <c r="V224" s="25">
        <f t="shared" si="39"/>
        <v>16.899999999999977</v>
      </c>
      <c r="W224" s="44">
        <v>0</v>
      </c>
      <c r="X224" s="45">
        <v>0</v>
      </c>
      <c r="Y224" s="124">
        <v>1</v>
      </c>
      <c r="Z224" s="124"/>
      <c r="AA224" s="124"/>
      <c r="AB224" s="124">
        <v>5.99</v>
      </c>
      <c r="AC224" s="130">
        <f t="shared" si="47"/>
        <v>5.99</v>
      </c>
      <c r="AD224" s="45">
        <v>7</v>
      </c>
      <c r="AE224" s="46">
        <v>240</v>
      </c>
      <c r="AF224" s="47">
        <v>101</v>
      </c>
      <c r="AG224" s="167">
        <f t="shared" si="40"/>
        <v>14.606187142857124</v>
      </c>
      <c r="AH224" s="168" t="str">
        <f t="shared" si="41"/>
        <v/>
      </c>
      <c r="AI224" s="168">
        <f t="shared" si="42"/>
        <v>34.707771428571384</v>
      </c>
      <c r="AJ224" s="167" t="str">
        <f t="shared" si="43"/>
        <v/>
      </c>
      <c r="AK224" s="167">
        <f t="shared" si="44"/>
        <v>523286.4</v>
      </c>
      <c r="AL224" s="167">
        <f t="shared" si="45"/>
        <v>12633.628799999984</v>
      </c>
      <c r="AM224" s="167" t="str">
        <f t="shared" si="46"/>
        <v/>
      </c>
    </row>
    <row r="225" spans="1:39" s="48" customFormat="1" x14ac:dyDescent="0.25">
      <c r="A225" s="128" t="s">
        <v>220</v>
      </c>
      <c r="B225" s="128" t="s">
        <v>42</v>
      </c>
      <c r="C225" s="128" t="s">
        <v>221</v>
      </c>
      <c r="D225" s="128"/>
      <c r="E225" s="128">
        <v>1</v>
      </c>
      <c r="F225" s="128"/>
      <c r="G225" s="128">
        <v>0</v>
      </c>
      <c r="H225" s="128"/>
      <c r="I225" s="128"/>
      <c r="J225" s="99" t="s">
        <v>141</v>
      </c>
      <c r="K225" s="42" t="s">
        <v>204</v>
      </c>
      <c r="L225" s="37">
        <v>4.5</v>
      </c>
      <c r="M225" s="37">
        <v>42</v>
      </c>
      <c r="N225" s="42"/>
      <c r="O225" s="42"/>
      <c r="P225" s="42"/>
      <c r="Q225" s="42"/>
      <c r="R225" s="37"/>
      <c r="S225" s="43">
        <v>700</v>
      </c>
      <c r="U225" s="38">
        <v>732.6</v>
      </c>
      <c r="V225" s="25">
        <f t="shared" si="39"/>
        <v>32.600000000000023</v>
      </c>
      <c r="W225" s="44">
        <v>0</v>
      </c>
      <c r="X225" s="45">
        <v>0</v>
      </c>
      <c r="Y225" s="124">
        <v>1</v>
      </c>
      <c r="Z225" s="124"/>
      <c r="AA225" s="124"/>
      <c r="AB225" s="124">
        <v>6.79</v>
      </c>
      <c r="AC225" s="130">
        <f t="shared" ref="AC225:AC233" si="48">IF(AA225&gt;0,AA225/1000*U225/R225,AB225)</f>
        <v>6.79</v>
      </c>
      <c r="AD225" s="45">
        <v>7</v>
      </c>
      <c r="AE225" s="46">
        <v>180</v>
      </c>
      <c r="AF225" s="47">
        <v>42</v>
      </c>
      <c r="AG225" s="167">
        <f t="shared" si="40"/>
        <v>13.281240000000009</v>
      </c>
      <c r="AH225" s="168" t="str">
        <f t="shared" si="41"/>
        <v/>
      </c>
      <c r="AI225" s="168">
        <f t="shared" si="42"/>
        <v>56.919600000000038</v>
      </c>
      <c r="AJ225" s="167" t="str">
        <f t="shared" si="43"/>
        <v/>
      </c>
      <c r="AK225" s="167">
        <f t="shared" si="44"/>
        <v>444880.8</v>
      </c>
      <c r="AL225" s="167">
        <f t="shared" si="45"/>
        <v>20718.734400000012</v>
      </c>
      <c r="AM225" s="167" t="str">
        <f t="shared" si="46"/>
        <v/>
      </c>
    </row>
    <row r="226" spans="1:39" s="48" customFormat="1" x14ac:dyDescent="0.25">
      <c r="A226" s="128"/>
      <c r="B226" s="128"/>
      <c r="C226" s="128"/>
      <c r="D226" s="128"/>
      <c r="E226" s="128"/>
      <c r="F226" s="128"/>
      <c r="G226" s="128"/>
      <c r="H226" s="128"/>
      <c r="I226" s="128"/>
      <c r="J226" s="99" t="s">
        <v>142</v>
      </c>
      <c r="K226" s="42" t="s">
        <v>48</v>
      </c>
      <c r="L226" s="37">
        <v>4.5</v>
      </c>
      <c r="M226" s="37">
        <v>40</v>
      </c>
      <c r="N226" s="42"/>
      <c r="O226" s="42"/>
      <c r="P226" s="42"/>
      <c r="Q226" s="42"/>
      <c r="R226" s="37"/>
      <c r="S226" s="43">
        <v>700</v>
      </c>
      <c r="U226" s="38">
        <v>757.1</v>
      </c>
      <c r="V226" s="25">
        <f t="shared" si="39"/>
        <v>57.100000000000023</v>
      </c>
      <c r="W226" s="44">
        <v>0</v>
      </c>
      <c r="X226" s="45">
        <v>0</v>
      </c>
      <c r="Y226" s="124">
        <v>1</v>
      </c>
      <c r="Z226" s="124"/>
      <c r="AA226" s="124"/>
      <c r="AB226" s="124">
        <v>7.99</v>
      </c>
      <c r="AC226" s="130">
        <f t="shared" si="48"/>
        <v>7.99</v>
      </c>
      <c r="AD226" s="45">
        <v>7</v>
      </c>
      <c r="AE226" s="46">
        <v>180</v>
      </c>
      <c r="AF226" s="47">
        <v>40</v>
      </c>
      <c r="AG226" s="167">
        <f t="shared" si="40"/>
        <v>26.070228571428586</v>
      </c>
      <c r="AH226" s="168" t="str">
        <f t="shared" si="41"/>
        <v/>
      </c>
      <c r="AI226" s="168">
        <f t="shared" si="42"/>
        <v>117.31602857142863</v>
      </c>
      <c r="AJ226" s="167" t="str">
        <f t="shared" si="43"/>
        <v/>
      </c>
      <c r="AK226" s="167">
        <f t="shared" si="44"/>
        <v>523504.8</v>
      </c>
      <c r="AL226" s="167">
        <f t="shared" si="45"/>
        <v>42703.034400000019</v>
      </c>
      <c r="AM226" s="167" t="str">
        <f t="shared" si="46"/>
        <v/>
      </c>
    </row>
    <row r="227" spans="1:39" s="48" customFormat="1" x14ac:dyDescent="0.25">
      <c r="A227" s="128" t="s">
        <v>222</v>
      </c>
      <c r="B227" s="128" t="s">
        <v>201</v>
      </c>
      <c r="C227" s="128" t="s">
        <v>223</v>
      </c>
      <c r="D227" s="128"/>
      <c r="E227" s="128">
        <v>1</v>
      </c>
      <c r="F227" s="128"/>
      <c r="G227" s="128">
        <v>0</v>
      </c>
      <c r="H227" s="128"/>
      <c r="I227" s="128"/>
      <c r="J227" s="99" t="s">
        <v>142</v>
      </c>
      <c r="K227" s="42" t="s">
        <v>48</v>
      </c>
      <c r="L227" s="37">
        <v>4.5</v>
      </c>
      <c r="M227" s="37">
        <v>80</v>
      </c>
      <c r="N227" s="42"/>
      <c r="O227" s="42"/>
      <c r="P227" s="42">
        <v>1</v>
      </c>
      <c r="Q227" s="42"/>
      <c r="R227" s="37"/>
      <c r="S227" s="43">
        <v>700</v>
      </c>
      <c r="U227" s="38">
        <v>706.1</v>
      </c>
      <c r="V227" s="25">
        <f t="shared" si="39"/>
        <v>6.1000000000000227</v>
      </c>
      <c r="W227" s="44">
        <v>0</v>
      </c>
      <c r="X227" s="45">
        <v>0</v>
      </c>
      <c r="Y227" s="124">
        <v>1</v>
      </c>
      <c r="Z227" s="124"/>
      <c r="AA227" s="124"/>
      <c r="AB227" s="124">
        <v>9.25</v>
      </c>
      <c r="AC227" s="130">
        <f t="shared" si="48"/>
        <v>9.25</v>
      </c>
      <c r="AD227" s="45">
        <v>7</v>
      </c>
      <c r="AE227" s="46">
        <v>3000</v>
      </c>
      <c r="AF227" s="47">
        <v>7204</v>
      </c>
      <c r="AG227" s="167">
        <f t="shared" si="40"/>
        <v>580.69385714285931</v>
      </c>
      <c r="AH227" s="168" t="str">
        <f t="shared" si="41"/>
        <v/>
      </c>
      <c r="AI227" s="168">
        <f t="shared" si="42"/>
        <v>241.82142857142946</v>
      </c>
      <c r="AJ227" s="167" t="str">
        <f t="shared" si="43"/>
        <v/>
      </c>
      <c r="AK227" s="167">
        <f t="shared" si="44"/>
        <v>10101000</v>
      </c>
      <c r="AL227" s="167">
        <f t="shared" si="45"/>
        <v>88023.000000000335</v>
      </c>
      <c r="AM227" s="167" t="str">
        <f t="shared" si="46"/>
        <v/>
      </c>
    </row>
    <row r="228" spans="1:39" s="48" customFormat="1" x14ac:dyDescent="0.25">
      <c r="A228" s="128"/>
      <c r="B228" s="128"/>
      <c r="C228" s="128"/>
      <c r="D228" s="128"/>
      <c r="E228" s="128"/>
      <c r="F228" s="128"/>
      <c r="G228" s="128"/>
      <c r="H228" s="128"/>
      <c r="I228" s="128"/>
      <c r="J228" s="99" t="s">
        <v>141</v>
      </c>
      <c r="K228" s="42" t="s">
        <v>204</v>
      </c>
      <c r="L228" s="37">
        <v>4.5</v>
      </c>
      <c r="M228" s="37">
        <v>80</v>
      </c>
      <c r="N228" s="42"/>
      <c r="O228" s="42"/>
      <c r="P228" s="42">
        <v>1</v>
      </c>
      <c r="Q228" s="42"/>
      <c r="R228" s="37"/>
      <c r="S228" s="43">
        <v>700</v>
      </c>
      <c r="U228" s="38">
        <v>693.7</v>
      </c>
      <c r="V228" s="25">
        <f t="shared" si="39"/>
        <v>-6.2999999999999545</v>
      </c>
      <c r="W228" s="44">
        <v>2</v>
      </c>
      <c r="X228" s="45">
        <v>1</v>
      </c>
      <c r="Y228" s="124">
        <v>1</v>
      </c>
      <c r="Z228" s="124"/>
      <c r="AA228" s="124"/>
      <c r="AB228" s="124">
        <v>8.1</v>
      </c>
      <c r="AC228" s="130">
        <f t="shared" si="48"/>
        <v>8.1</v>
      </c>
      <c r="AD228" s="45">
        <v>7</v>
      </c>
      <c r="AE228" s="46">
        <v>1500</v>
      </c>
      <c r="AF228" s="47">
        <v>4123</v>
      </c>
      <c r="AG228" s="167" t="str">
        <f t="shared" si="40"/>
        <v/>
      </c>
      <c r="AH228" s="168">
        <f t="shared" si="41"/>
        <v>-300.56669999999781</v>
      </c>
      <c r="AI228" s="168" t="str">
        <f t="shared" si="42"/>
        <v/>
      </c>
      <c r="AJ228" s="167">
        <f t="shared" si="43"/>
        <v>-109.3499999999992</v>
      </c>
      <c r="AK228" s="167">
        <f t="shared" si="44"/>
        <v>4422600</v>
      </c>
      <c r="AL228" s="167" t="str">
        <f t="shared" si="45"/>
        <v/>
      </c>
      <c r="AM228" s="167">
        <f t="shared" si="46"/>
        <v>39803.399999999703</v>
      </c>
    </row>
    <row r="229" spans="1:39" s="48" customFormat="1" x14ac:dyDescent="0.25">
      <c r="A229" s="128"/>
      <c r="B229" s="128"/>
      <c r="C229" s="128"/>
      <c r="D229" s="128"/>
      <c r="E229" s="128"/>
      <c r="F229" s="128"/>
      <c r="G229" s="128"/>
      <c r="H229" s="128"/>
      <c r="I229" s="128"/>
      <c r="J229" s="99" t="s">
        <v>142</v>
      </c>
      <c r="K229" s="42" t="s">
        <v>48</v>
      </c>
      <c r="L229" s="37">
        <v>4.5</v>
      </c>
      <c r="M229" s="37">
        <v>80</v>
      </c>
      <c r="N229" s="42"/>
      <c r="O229" s="42"/>
      <c r="P229" s="42">
        <v>1</v>
      </c>
      <c r="Q229" s="42"/>
      <c r="R229" s="37"/>
      <c r="S229" s="43">
        <v>700</v>
      </c>
      <c r="U229" s="38">
        <v>713.1</v>
      </c>
      <c r="V229" s="25">
        <f t="shared" si="39"/>
        <v>13.100000000000023</v>
      </c>
      <c r="W229" s="44">
        <v>0</v>
      </c>
      <c r="X229" s="45">
        <v>0</v>
      </c>
      <c r="Y229" s="124">
        <v>1</v>
      </c>
      <c r="Z229" s="124"/>
      <c r="AA229" s="124"/>
      <c r="AB229" s="124">
        <v>8.6</v>
      </c>
      <c r="AC229" s="130">
        <f t="shared" si="48"/>
        <v>8.6</v>
      </c>
      <c r="AD229" s="45">
        <v>7</v>
      </c>
      <c r="AE229" s="46">
        <v>1500</v>
      </c>
      <c r="AF229" s="47">
        <v>1500</v>
      </c>
      <c r="AG229" s="167">
        <f t="shared" si="40"/>
        <v>241.41428571428611</v>
      </c>
      <c r="AH229" s="168" t="str">
        <f t="shared" si="41"/>
        <v/>
      </c>
      <c r="AI229" s="168">
        <f t="shared" si="42"/>
        <v>241.41428571428611</v>
      </c>
      <c r="AJ229" s="167" t="str">
        <f t="shared" si="43"/>
        <v/>
      </c>
      <c r="AK229" s="167">
        <f t="shared" si="44"/>
        <v>4695600</v>
      </c>
      <c r="AL229" s="167">
        <f t="shared" si="45"/>
        <v>87874.800000000148</v>
      </c>
      <c r="AM229" s="167" t="str">
        <f t="shared" si="46"/>
        <v/>
      </c>
    </row>
    <row r="230" spans="1:39" x14ac:dyDescent="0.25">
      <c r="A230" s="128"/>
      <c r="B230" s="128"/>
      <c r="C230" s="128"/>
      <c r="D230" s="128"/>
      <c r="E230" s="128"/>
      <c r="F230" s="128"/>
      <c r="G230" s="128"/>
      <c r="H230" s="128"/>
      <c r="I230" s="128"/>
      <c r="J230" s="99" t="s">
        <v>141</v>
      </c>
      <c r="K230" s="42" t="s">
        <v>204</v>
      </c>
      <c r="L230" s="37">
        <v>4.5</v>
      </c>
      <c r="M230" s="37">
        <v>80</v>
      </c>
      <c r="N230" s="42"/>
      <c r="O230" s="42"/>
      <c r="P230" s="42">
        <v>1</v>
      </c>
      <c r="Q230" s="42"/>
      <c r="R230" s="37"/>
      <c r="S230" s="43">
        <v>700</v>
      </c>
      <c r="U230" s="38">
        <v>709.7</v>
      </c>
      <c r="V230" s="25">
        <f t="shared" si="39"/>
        <v>9.7000000000000455</v>
      </c>
      <c r="W230" s="44">
        <v>0</v>
      </c>
      <c r="X230" s="45">
        <v>0</v>
      </c>
      <c r="Y230" s="124">
        <v>1</v>
      </c>
      <c r="Z230" s="124"/>
      <c r="AA230" s="124"/>
      <c r="AB230" s="124">
        <v>9.5500000000000007</v>
      </c>
      <c r="AC230" s="130">
        <f t="shared" si="48"/>
        <v>9.5500000000000007</v>
      </c>
      <c r="AD230" s="45">
        <v>7</v>
      </c>
      <c r="AE230" s="46">
        <v>1000</v>
      </c>
      <c r="AF230" s="47">
        <v>1000</v>
      </c>
      <c r="AG230" s="167">
        <f t="shared" si="40"/>
        <v>132.33571428571491</v>
      </c>
      <c r="AH230" s="168" t="str">
        <f t="shared" si="41"/>
        <v/>
      </c>
      <c r="AI230" s="168">
        <f t="shared" si="42"/>
        <v>132.33571428571491</v>
      </c>
      <c r="AJ230" s="167" t="str">
        <f t="shared" si="43"/>
        <v/>
      </c>
      <c r="AK230" s="167">
        <f t="shared" si="44"/>
        <v>3476200</v>
      </c>
      <c r="AL230" s="167">
        <f t="shared" si="45"/>
        <v>48170.20000000023</v>
      </c>
      <c r="AM230" s="167" t="str">
        <f t="shared" si="46"/>
        <v/>
      </c>
    </row>
    <row r="231" spans="1:39" x14ac:dyDescent="0.25">
      <c r="A231" s="128" t="s">
        <v>220</v>
      </c>
      <c r="B231" s="128" t="s">
        <v>42</v>
      </c>
      <c r="C231" s="128" t="s">
        <v>224</v>
      </c>
      <c r="D231" s="128"/>
      <c r="E231" s="128">
        <v>1</v>
      </c>
      <c r="F231" s="128"/>
      <c r="G231" s="128">
        <v>1</v>
      </c>
      <c r="H231" s="128"/>
      <c r="I231" s="128"/>
      <c r="J231" s="99" t="s">
        <v>142</v>
      </c>
      <c r="K231" s="42" t="s">
        <v>48</v>
      </c>
      <c r="L231" s="37">
        <v>4.5</v>
      </c>
      <c r="M231" s="37">
        <v>32</v>
      </c>
      <c r="N231" s="42"/>
      <c r="O231" s="42"/>
      <c r="P231" s="42"/>
      <c r="Q231" s="42"/>
      <c r="R231" s="37"/>
      <c r="S231" s="43">
        <v>700</v>
      </c>
      <c r="U231" s="38">
        <v>748.2</v>
      </c>
      <c r="V231" s="25">
        <f t="shared" si="39"/>
        <v>48.200000000000045</v>
      </c>
      <c r="W231" s="44">
        <v>0</v>
      </c>
      <c r="X231" s="45">
        <v>0</v>
      </c>
      <c r="Y231" s="124">
        <v>1</v>
      </c>
      <c r="Z231" s="124"/>
      <c r="AA231" s="124"/>
      <c r="AB231" s="124">
        <v>7.99</v>
      </c>
      <c r="AC231" s="130">
        <f t="shared" si="48"/>
        <v>7.99</v>
      </c>
      <c r="AD231" s="45">
        <v>7</v>
      </c>
      <c r="AE231" s="46">
        <v>486</v>
      </c>
      <c r="AF231" s="47">
        <v>32</v>
      </c>
      <c r="AG231" s="167">
        <f t="shared" si="40"/>
        <v>17.605394285714304</v>
      </c>
      <c r="AH231" s="168" t="str">
        <f t="shared" si="41"/>
        <v/>
      </c>
      <c r="AI231" s="168">
        <f t="shared" si="42"/>
        <v>267.38192571428601</v>
      </c>
      <c r="AJ231" s="167" t="str">
        <f t="shared" si="43"/>
        <v/>
      </c>
      <c r="AK231" s="167">
        <f t="shared" si="44"/>
        <v>1413462.9600000002</v>
      </c>
      <c r="AL231" s="167">
        <f t="shared" si="45"/>
        <v>97327.020960000111</v>
      </c>
      <c r="AM231" s="167" t="str">
        <f t="shared" si="46"/>
        <v/>
      </c>
    </row>
    <row r="232" spans="1:39" x14ac:dyDescent="0.25">
      <c r="A232" s="128"/>
      <c r="B232" s="128"/>
      <c r="C232" s="128"/>
      <c r="D232" s="128"/>
      <c r="E232" s="128"/>
      <c r="F232" s="128"/>
      <c r="G232" s="128"/>
      <c r="H232" s="128"/>
      <c r="I232" s="128"/>
      <c r="J232" s="99" t="s">
        <v>141</v>
      </c>
      <c r="K232" s="42" t="s">
        <v>204</v>
      </c>
      <c r="L232" s="37">
        <v>4.5</v>
      </c>
      <c r="M232" s="37">
        <v>48</v>
      </c>
      <c r="N232" s="42"/>
      <c r="O232" s="42"/>
      <c r="P232" s="42"/>
      <c r="Q232" s="42"/>
      <c r="R232" s="37"/>
      <c r="S232" s="43">
        <v>700</v>
      </c>
      <c r="U232" s="38">
        <v>749.6</v>
      </c>
      <c r="V232" s="25">
        <f t="shared" si="39"/>
        <v>49.600000000000023</v>
      </c>
      <c r="W232" s="44">
        <v>0</v>
      </c>
      <c r="X232" s="45">
        <v>0</v>
      </c>
      <c r="Y232" s="124">
        <v>1</v>
      </c>
      <c r="Z232" s="124"/>
      <c r="AA232" s="124"/>
      <c r="AB232" s="124">
        <v>6.79</v>
      </c>
      <c r="AC232" s="130">
        <f t="shared" si="48"/>
        <v>6.79</v>
      </c>
      <c r="AD232" s="45">
        <v>7</v>
      </c>
      <c r="AE232" s="46">
        <v>324</v>
      </c>
      <c r="AF232" s="47">
        <v>48</v>
      </c>
      <c r="AG232" s="167">
        <f t="shared" si="40"/>
        <v>23.09376000000001</v>
      </c>
      <c r="AH232" s="168" t="str">
        <f t="shared" si="41"/>
        <v/>
      </c>
      <c r="AI232" s="168">
        <f t="shared" si="42"/>
        <v>155.88288000000006</v>
      </c>
      <c r="AJ232" s="167" t="str">
        <f t="shared" si="43"/>
        <v/>
      </c>
      <c r="AK232" s="167">
        <f t="shared" si="44"/>
        <v>800785.44000000006</v>
      </c>
      <c r="AL232" s="167">
        <f t="shared" si="45"/>
        <v>56741.368320000016</v>
      </c>
      <c r="AM232" s="167" t="str">
        <f t="shared" si="46"/>
        <v/>
      </c>
    </row>
    <row r="233" spans="1:39" hidden="1" x14ac:dyDescent="0.25">
      <c r="A233" s="144" t="s">
        <v>225</v>
      </c>
      <c r="B233" s="144" t="s">
        <v>201</v>
      </c>
      <c r="C233" s="144" t="s">
        <v>226</v>
      </c>
      <c r="D233" s="128"/>
      <c r="E233" s="128">
        <v>1</v>
      </c>
      <c r="F233" s="128"/>
      <c r="G233" s="128">
        <v>1</v>
      </c>
      <c r="H233" s="124">
        <v>1</v>
      </c>
      <c r="I233" s="124"/>
      <c r="J233" s="99" t="s">
        <v>162</v>
      </c>
      <c r="K233" s="37" t="s">
        <v>207</v>
      </c>
      <c r="L233" s="37">
        <v>4.5</v>
      </c>
      <c r="M233" s="37"/>
      <c r="N233" s="42"/>
      <c r="O233" s="42">
        <v>1</v>
      </c>
      <c r="P233" s="42"/>
      <c r="Q233" s="42"/>
      <c r="R233" s="37"/>
      <c r="S233" s="38">
        <v>12500</v>
      </c>
      <c r="T233" s="43" t="s">
        <v>46</v>
      </c>
      <c r="U233" s="39">
        <v>12426</v>
      </c>
      <c r="V233" s="129">
        <v>-74</v>
      </c>
      <c r="W233" s="137">
        <v>15</v>
      </c>
      <c r="X233" s="137">
        <v>1</v>
      </c>
      <c r="Y233" s="124"/>
      <c r="Z233" s="124"/>
      <c r="AA233" s="124"/>
      <c r="AB233" s="124">
        <v>28.5</v>
      </c>
      <c r="AC233" s="130">
        <f t="shared" si="48"/>
        <v>28.5</v>
      </c>
      <c r="AD233" s="45">
        <v>6</v>
      </c>
      <c r="AE233" s="46">
        <v>300</v>
      </c>
      <c r="AF233" s="47">
        <v>60</v>
      </c>
      <c r="AG233" s="167" t="str">
        <f t="shared" si="40"/>
        <v/>
      </c>
      <c r="AH233" s="168">
        <f t="shared" si="41"/>
        <v>-10.123199999999999</v>
      </c>
      <c r="AI233" s="168" t="str">
        <f t="shared" si="42"/>
        <v/>
      </c>
      <c r="AJ233" s="167">
        <f t="shared" si="43"/>
        <v>-50.615999999999993</v>
      </c>
      <c r="AK233" s="167">
        <f t="shared" si="44"/>
        <v>2667600</v>
      </c>
      <c r="AL233" s="167" t="str">
        <f t="shared" si="45"/>
        <v/>
      </c>
      <c r="AM233" s="167">
        <f t="shared" si="46"/>
        <v>15792.191999999999</v>
      </c>
    </row>
    <row r="234" spans="1:39" hidden="1" x14ac:dyDescent="0.25">
      <c r="A234" s="144" t="s">
        <v>227</v>
      </c>
      <c r="B234" s="144" t="s">
        <v>201</v>
      </c>
      <c r="C234" s="144" t="s">
        <v>228</v>
      </c>
      <c r="D234" s="128"/>
      <c r="E234" s="128">
        <v>1</v>
      </c>
      <c r="F234" s="128"/>
      <c r="G234" s="128"/>
      <c r="H234" s="128"/>
      <c r="I234" s="128"/>
      <c r="J234" s="99" t="s">
        <v>229</v>
      </c>
      <c r="K234" s="42" t="s">
        <v>230</v>
      </c>
      <c r="L234" s="37">
        <v>4.5</v>
      </c>
      <c r="M234" s="37"/>
      <c r="N234" s="42"/>
      <c r="O234" s="42"/>
      <c r="P234" s="42">
        <v>1</v>
      </c>
      <c r="Q234" s="42"/>
      <c r="R234" s="37"/>
      <c r="S234" s="38">
        <v>1000</v>
      </c>
      <c r="T234" s="43" t="s">
        <v>202</v>
      </c>
      <c r="U234" s="39">
        <v>1038</v>
      </c>
      <c r="V234" s="129">
        <v>38</v>
      </c>
      <c r="W234" s="137">
        <v>0</v>
      </c>
      <c r="X234" s="137">
        <v>0</v>
      </c>
      <c r="Y234" s="124"/>
      <c r="Z234" s="124"/>
      <c r="AA234" s="124"/>
      <c r="AB234" s="124">
        <v>5</v>
      </c>
      <c r="AC234" s="130">
        <v>5</v>
      </c>
      <c r="AD234" s="45">
        <v>7</v>
      </c>
      <c r="AE234" s="46">
        <v>1300</v>
      </c>
      <c r="AF234" s="47">
        <v>1000</v>
      </c>
      <c r="AG234" s="167">
        <f t="shared" si="40"/>
        <v>190</v>
      </c>
      <c r="AH234" s="168" t="str">
        <f t="shared" si="41"/>
        <v/>
      </c>
      <c r="AI234" s="168">
        <f t="shared" si="42"/>
        <v>247</v>
      </c>
      <c r="AJ234" s="167" t="str">
        <f t="shared" si="43"/>
        <v/>
      </c>
      <c r="AK234" s="167">
        <f t="shared" si="44"/>
        <v>2366000</v>
      </c>
      <c r="AL234" s="167">
        <f t="shared" si="45"/>
        <v>89908</v>
      </c>
      <c r="AM234" s="167" t="str">
        <f t="shared" si="46"/>
        <v/>
      </c>
    </row>
    <row r="235" spans="1:39" hidden="1" x14ac:dyDescent="0.25">
      <c r="A235" s="144"/>
      <c r="B235" s="144"/>
      <c r="C235" s="144"/>
      <c r="D235" s="128"/>
      <c r="E235" s="128"/>
      <c r="F235" s="128"/>
      <c r="G235" s="128"/>
      <c r="H235" s="128"/>
      <c r="I235" s="128"/>
      <c r="J235" s="99" t="s">
        <v>173</v>
      </c>
      <c r="K235" s="42" t="s">
        <v>230</v>
      </c>
      <c r="L235" s="37">
        <v>4.5</v>
      </c>
      <c r="M235" s="37"/>
      <c r="N235" s="42"/>
      <c r="O235" s="42"/>
      <c r="P235" s="42">
        <v>1</v>
      </c>
      <c r="Q235" s="42"/>
      <c r="R235" s="37"/>
      <c r="S235" s="38">
        <v>1000</v>
      </c>
      <c r="T235" s="43" t="s">
        <v>202</v>
      </c>
      <c r="U235" s="39">
        <v>1026</v>
      </c>
      <c r="V235" s="129">
        <v>26</v>
      </c>
      <c r="W235" s="137">
        <v>0</v>
      </c>
      <c r="X235" s="137">
        <v>0</v>
      </c>
      <c r="Y235" s="124"/>
      <c r="Z235" s="124"/>
      <c r="AA235" s="124"/>
      <c r="AB235" s="124">
        <v>5</v>
      </c>
      <c r="AC235" s="130">
        <v>5</v>
      </c>
      <c r="AD235" s="45">
        <v>7</v>
      </c>
      <c r="AE235" s="46">
        <v>1120</v>
      </c>
      <c r="AF235" s="47">
        <v>1000</v>
      </c>
      <c r="AG235" s="167">
        <f t="shared" si="40"/>
        <v>130</v>
      </c>
      <c r="AH235" s="168" t="str">
        <f t="shared" si="41"/>
        <v/>
      </c>
      <c r="AI235" s="168">
        <f t="shared" si="42"/>
        <v>145.6</v>
      </c>
      <c r="AJ235" s="167" t="str">
        <f t="shared" si="43"/>
        <v/>
      </c>
      <c r="AK235" s="167">
        <f t="shared" si="44"/>
        <v>2038400</v>
      </c>
      <c r="AL235" s="167">
        <f t="shared" si="45"/>
        <v>52998.399999999994</v>
      </c>
      <c r="AM235" s="167" t="str">
        <f t="shared" si="46"/>
        <v/>
      </c>
    </row>
    <row r="236" spans="1:39" x14ac:dyDescent="0.25">
      <c r="A236" s="144" t="s">
        <v>231</v>
      </c>
      <c r="B236" s="144" t="s">
        <v>201</v>
      </c>
      <c r="C236" s="144" t="s">
        <v>232</v>
      </c>
      <c r="D236" s="128"/>
      <c r="E236" s="128">
        <v>1</v>
      </c>
      <c r="F236" s="128"/>
      <c r="G236" s="128"/>
      <c r="H236" s="128"/>
      <c r="I236" s="128"/>
      <c r="J236" s="99" t="s">
        <v>141</v>
      </c>
      <c r="K236" s="42" t="s">
        <v>204</v>
      </c>
      <c r="L236" s="37">
        <v>4.5</v>
      </c>
      <c r="M236" s="37"/>
      <c r="N236" s="42"/>
      <c r="O236" s="42"/>
      <c r="P236" s="42"/>
      <c r="Q236" s="42">
        <v>1</v>
      </c>
      <c r="R236" s="37"/>
      <c r="S236" s="38">
        <v>700</v>
      </c>
      <c r="T236" s="43" t="s">
        <v>46</v>
      </c>
      <c r="U236" s="39">
        <v>707.58</v>
      </c>
      <c r="V236" s="25">
        <f t="shared" ref="V236:V237" si="49">-S236+U236</f>
        <v>7.5800000000000409</v>
      </c>
      <c r="W236" s="137">
        <v>0</v>
      </c>
      <c r="X236" s="137">
        <v>0</v>
      </c>
      <c r="Y236" s="124"/>
      <c r="Z236" s="124"/>
      <c r="AA236" s="124"/>
      <c r="AB236" s="124">
        <v>7</v>
      </c>
      <c r="AC236" s="130">
        <v>7</v>
      </c>
      <c r="AD236" s="45">
        <v>7</v>
      </c>
      <c r="AE236" s="46">
        <v>56000</v>
      </c>
      <c r="AF236" s="47">
        <v>10000</v>
      </c>
      <c r="AG236" s="167">
        <f t="shared" si="40"/>
        <v>758.00000000000409</v>
      </c>
      <c r="AH236" s="168" t="str">
        <f t="shared" si="41"/>
        <v/>
      </c>
      <c r="AI236" s="168">
        <f t="shared" si="42"/>
        <v>4244.8000000000229</v>
      </c>
      <c r="AJ236" s="167" t="str">
        <f t="shared" si="43"/>
        <v/>
      </c>
      <c r="AK236" s="167">
        <f t="shared" si="44"/>
        <v>142688000</v>
      </c>
      <c r="AL236" s="167">
        <f t="shared" si="45"/>
        <v>1545107.2000000083</v>
      </c>
      <c r="AM236" s="167" t="str">
        <f t="shared" si="46"/>
        <v/>
      </c>
    </row>
    <row r="237" spans="1:39" x14ac:dyDescent="0.25">
      <c r="A237" s="144"/>
      <c r="B237" s="144"/>
      <c r="C237" s="144"/>
      <c r="D237" s="128"/>
      <c r="E237" s="128"/>
      <c r="F237" s="128"/>
      <c r="G237" s="128"/>
      <c r="H237" s="128"/>
      <c r="I237" s="128"/>
      <c r="J237" s="99" t="s">
        <v>142</v>
      </c>
      <c r="K237" s="42" t="s">
        <v>48</v>
      </c>
      <c r="L237" s="37">
        <v>4.5</v>
      </c>
      <c r="M237" s="37"/>
      <c r="N237" s="42"/>
      <c r="O237" s="42"/>
      <c r="P237" s="42"/>
      <c r="Q237" s="42">
        <v>1</v>
      </c>
      <c r="R237" s="37"/>
      <c r="S237" s="38">
        <v>700</v>
      </c>
      <c r="T237" s="43" t="s">
        <v>46</v>
      </c>
      <c r="U237" s="39">
        <v>708.11</v>
      </c>
      <c r="V237" s="25">
        <f t="shared" si="49"/>
        <v>8.1100000000000136</v>
      </c>
      <c r="W237" s="137">
        <v>0</v>
      </c>
      <c r="X237" s="137">
        <v>0</v>
      </c>
      <c r="Y237" s="124"/>
      <c r="Z237" s="124"/>
      <c r="AA237" s="124"/>
      <c r="AB237" s="124">
        <v>8</v>
      </c>
      <c r="AC237" s="130">
        <v>8</v>
      </c>
      <c r="AD237" s="45">
        <v>7</v>
      </c>
      <c r="AE237" s="46">
        <v>50000</v>
      </c>
      <c r="AF237" s="47">
        <v>8000</v>
      </c>
      <c r="AG237" s="167">
        <f t="shared" si="40"/>
        <v>741.48571428571552</v>
      </c>
      <c r="AH237" s="168" t="str">
        <f t="shared" si="41"/>
        <v/>
      </c>
      <c r="AI237" s="168">
        <f t="shared" si="42"/>
        <v>4634.285714285722</v>
      </c>
      <c r="AJ237" s="167" t="str">
        <f t="shared" si="43"/>
        <v/>
      </c>
      <c r="AK237" s="167">
        <f t="shared" si="44"/>
        <v>145600000</v>
      </c>
      <c r="AL237" s="167">
        <f t="shared" si="45"/>
        <v>1686880.0000000028</v>
      </c>
      <c r="AM237" s="167" t="str">
        <f t="shared" si="46"/>
        <v/>
      </c>
    </row>
    <row r="238" spans="1:39" hidden="1" x14ac:dyDescent="0.25">
      <c r="A238" s="144" t="s">
        <v>233</v>
      </c>
      <c r="B238" s="144" t="s">
        <v>201</v>
      </c>
      <c r="C238" s="144" t="s">
        <v>234</v>
      </c>
      <c r="D238" s="128"/>
      <c r="E238" s="128">
        <v>1</v>
      </c>
      <c r="F238" s="128"/>
      <c r="G238" s="128"/>
      <c r="H238" s="128"/>
      <c r="I238" s="128"/>
      <c r="J238" s="99" t="s">
        <v>162</v>
      </c>
      <c r="K238" s="42" t="s">
        <v>207</v>
      </c>
      <c r="L238" s="37">
        <v>4.5</v>
      </c>
      <c r="M238" s="37">
        <v>23</v>
      </c>
      <c r="N238" s="42"/>
      <c r="O238" s="42"/>
      <c r="P238" s="42"/>
      <c r="Q238" s="42"/>
      <c r="R238" s="37"/>
      <c r="S238" s="38">
        <v>12500</v>
      </c>
      <c r="T238" s="43" t="s">
        <v>46</v>
      </c>
      <c r="U238" s="39">
        <v>12536</v>
      </c>
      <c r="V238" s="129">
        <v>36</v>
      </c>
      <c r="W238" s="137">
        <v>0</v>
      </c>
      <c r="X238" s="137">
        <v>0</v>
      </c>
      <c r="Y238" s="124"/>
      <c r="Z238" s="124"/>
      <c r="AA238" s="124"/>
      <c r="AB238" s="124">
        <v>28.5</v>
      </c>
      <c r="AC238" s="130">
        <v>28.5</v>
      </c>
      <c r="AD238" s="45">
        <v>6</v>
      </c>
      <c r="AE238" s="46">
        <v>300</v>
      </c>
      <c r="AF238" s="47">
        <v>23</v>
      </c>
      <c r="AG238" s="167">
        <f t="shared" si="40"/>
        <v>1.88784</v>
      </c>
      <c r="AH238" s="168" t="str">
        <f t="shared" si="41"/>
        <v/>
      </c>
      <c r="AI238" s="168">
        <f t="shared" si="42"/>
        <v>24.623999999999999</v>
      </c>
      <c r="AJ238" s="167" t="str">
        <f t="shared" si="43"/>
        <v/>
      </c>
      <c r="AK238" s="167">
        <f t="shared" si="44"/>
        <v>2667600</v>
      </c>
      <c r="AL238" s="167">
        <f t="shared" si="45"/>
        <v>7682.6880000000001</v>
      </c>
      <c r="AM238" s="167" t="str">
        <f t="shared" si="46"/>
        <v/>
      </c>
    </row>
    <row r="239" spans="1:39" x14ac:dyDescent="0.25">
      <c r="A239" s="144" t="s">
        <v>235</v>
      </c>
      <c r="B239" s="144" t="s">
        <v>42</v>
      </c>
      <c r="C239" s="144" t="s">
        <v>236</v>
      </c>
      <c r="D239" s="128"/>
      <c r="E239" s="128">
        <v>1</v>
      </c>
      <c r="F239" s="128"/>
      <c r="G239" s="128"/>
      <c r="H239" s="128"/>
      <c r="I239" s="128"/>
      <c r="J239" s="99" t="s">
        <v>141</v>
      </c>
      <c r="K239" s="42" t="s">
        <v>204</v>
      </c>
      <c r="L239" s="37">
        <v>4.5</v>
      </c>
      <c r="M239" s="37">
        <v>57</v>
      </c>
      <c r="N239" s="42"/>
      <c r="O239" s="42"/>
      <c r="P239" s="42"/>
      <c r="Q239" s="42"/>
      <c r="R239" s="37"/>
      <c r="S239" s="38">
        <v>700</v>
      </c>
      <c r="T239" s="43" t="s">
        <v>46</v>
      </c>
      <c r="U239" s="39">
        <v>726.52</v>
      </c>
      <c r="V239" s="25">
        <f t="shared" ref="V239:V242" si="50">-S239+U239</f>
        <v>26.519999999999982</v>
      </c>
      <c r="W239" s="137">
        <v>0</v>
      </c>
      <c r="X239" s="137">
        <v>0</v>
      </c>
      <c r="Y239" s="124"/>
      <c r="Z239" s="124"/>
      <c r="AA239" s="124"/>
      <c r="AB239" s="124">
        <v>5.4</v>
      </c>
      <c r="AC239" s="130">
        <v>5.4</v>
      </c>
      <c r="AD239" s="45">
        <v>6</v>
      </c>
      <c r="AE239" s="46">
        <v>800</v>
      </c>
      <c r="AF239" s="47">
        <v>57</v>
      </c>
      <c r="AG239" s="167">
        <f t="shared" si="40"/>
        <v>11.661222857142851</v>
      </c>
      <c r="AH239" s="168" t="str">
        <f t="shared" si="41"/>
        <v/>
      </c>
      <c r="AI239" s="168">
        <f t="shared" si="42"/>
        <v>163.66628571428564</v>
      </c>
      <c r="AJ239" s="167" t="str">
        <f t="shared" si="43"/>
        <v/>
      </c>
      <c r="AK239" s="167">
        <f t="shared" si="44"/>
        <v>1347840</v>
      </c>
      <c r="AL239" s="167">
        <f t="shared" si="45"/>
        <v>51063.881142857113</v>
      </c>
      <c r="AM239" s="167" t="str">
        <f t="shared" si="46"/>
        <v/>
      </c>
    </row>
    <row r="240" spans="1:39" x14ac:dyDescent="0.25">
      <c r="A240" s="144"/>
      <c r="B240" s="144"/>
      <c r="C240" s="144"/>
      <c r="D240" s="128"/>
      <c r="E240" s="128"/>
      <c r="F240" s="128"/>
      <c r="G240" s="128"/>
      <c r="H240" s="128"/>
      <c r="I240" s="128"/>
      <c r="J240" s="99" t="s">
        <v>142</v>
      </c>
      <c r="K240" s="42" t="s">
        <v>48</v>
      </c>
      <c r="L240" s="37">
        <v>4.5</v>
      </c>
      <c r="M240" s="37">
        <v>39</v>
      </c>
      <c r="N240" s="42"/>
      <c r="O240" s="42"/>
      <c r="P240" s="42"/>
      <c r="Q240" s="42"/>
      <c r="R240" s="37"/>
      <c r="S240" s="38">
        <v>700</v>
      </c>
      <c r="T240" s="43" t="s">
        <v>46</v>
      </c>
      <c r="U240" s="39">
        <v>713.05</v>
      </c>
      <c r="V240" s="25">
        <f t="shared" si="50"/>
        <v>13.049999999999955</v>
      </c>
      <c r="W240" s="137">
        <v>0</v>
      </c>
      <c r="X240" s="137">
        <v>0</v>
      </c>
      <c r="Y240" s="124"/>
      <c r="Z240" s="124"/>
      <c r="AA240" s="124"/>
      <c r="AB240" s="124">
        <v>6.8</v>
      </c>
      <c r="AC240" s="130">
        <v>6.8</v>
      </c>
      <c r="AD240" s="45">
        <v>6</v>
      </c>
      <c r="AE240" s="46">
        <v>800</v>
      </c>
      <c r="AF240" s="47">
        <v>39</v>
      </c>
      <c r="AG240" s="167">
        <f t="shared" si="40"/>
        <v>4.9440857142856967</v>
      </c>
      <c r="AH240" s="168" t="str">
        <f t="shared" si="41"/>
        <v/>
      </c>
      <c r="AI240" s="168">
        <f t="shared" si="42"/>
        <v>101.41714285714249</v>
      </c>
      <c r="AJ240" s="167" t="str">
        <f t="shared" si="43"/>
        <v/>
      </c>
      <c r="AK240" s="167">
        <f t="shared" si="44"/>
        <v>1697280</v>
      </c>
      <c r="AL240" s="167">
        <f t="shared" si="45"/>
        <v>31642.148571428457</v>
      </c>
      <c r="AM240" s="167" t="str">
        <f t="shared" si="46"/>
        <v/>
      </c>
    </row>
    <row r="241" spans="1:39" x14ac:dyDescent="0.25">
      <c r="A241" s="144" t="s">
        <v>237</v>
      </c>
      <c r="B241" s="144" t="s">
        <v>42</v>
      </c>
      <c r="C241" s="144" t="s">
        <v>238</v>
      </c>
      <c r="D241" s="128"/>
      <c r="E241" s="128">
        <v>1</v>
      </c>
      <c r="F241" s="128"/>
      <c r="G241" s="128"/>
      <c r="H241" s="128"/>
      <c r="I241" s="128"/>
      <c r="J241" s="99" t="s">
        <v>141</v>
      </c>
      <c r="K241" s="42" t="s">
        <v>204</v>
      </c>
      <c r="L241" s="37">
        <v>4.5</v>
      </c>
      <c r="M241" s="37">
        <v>13</v>
      </c>
      <c r="N241" s="42"/>
      <c r="O241" s="42"/>
      <c r="P241" s="42"/>
      <c r="Q241" s="42"/>
      <c r="R241" s="37"/>
      <c r="S241" s="38">
        <v>700</v>
      </c>
      <c r="T241" s="43" t="s">
        <v>46</v>
      </c>
      <c r="U241" s="39">
        <v>705.38</v>
      </c>
      <c r="V241" s="25">
        <f t="shared" si="50"/>
        <v>5.3799999999999955</v>
      </c>
      <c r="W241" s="137">
        <v>0</v>
      </c>
      <c r="X241" s="137">
        <v>0</v>
      </c>
      <c r="Y241" s="124"/>
      <c r="Z241" s="124"/>
      <c r="AA241" s="124"/>
      <c r="AB241" s="124">
        <v>6.5</v>
      </c>
      <c r="AC241" s="130">
        <v>6.5</v>
      </c>
      <c r="AD241" s="45">
        <v>7</v>
      </c>
      <c r="AE241" s="46">
        <v>1800</v>
      </c>
      <c r="AF241" s="47">
        <v>13</v>
      </c>
      <c r="AG241" s="167">
        <f t="shared" si="40"/>
        <v>0.64944285714285666</v>
      </c>
      <c r="AH241" s="168" t="str">
        <f t="shared" si="41"/>
        <v/>
      </c>
      <c r="AI241" s="168">
        <f t="shared" si="42"/>
        <v>89.922857142857069</v>
      </c>
      <c r="AJ241" s="167" t="str">
        <f t="shared" si="43"/>
        <v/>
      </c>
      <c r="AK241" s="167">
        <f t="shared" si="44"/>
        <v>4258800</v>
      </c>
      <c r="AL241" s="167">
        <f t="shared" si="45"/>
        <v>32731.919999999973</v>
      </c>
      <c r="AM241" s="167" t="str">
        <f t="shared" si="46"/>
        <v/>
      </c>
    </row>
    <row r="242" spans="1:39" x14ac:dyDescent="0.25">
      <c r="A242" s="144"/>
      <c r="B242" s="144"/>
      <c r="C242" s="144"/>
      <c r="D242" s="128"/>
      <c r="E242" s="128"/>
      <c r="F242" s="128"/>
      <c r="G242" s="128"/>
      <c r="H242" s="128"/>
      <c r="I242" s="128"/>
      <c r="J242" s="99" t="s">
        <v>142</v>
      </c>
      <c r="K242" s="42" t="s">
        <v>48</v>
      </c>
      <c r="L242" s="37">
        <v>4.5</v>
      </c>
      <c r="M242" s="37">
        <v>45</v>
      </c>
      <c r="N242" s="42"/>
      <c r="O242" s="42"/>
      <c r="P242" s="42"/>
      <c r="Q242" s="42"/>
      <c r="R242" s="37"/>
      <c r="S242" s="38">
        <v>700</v>
      </c>
      <c r="T242" s="43" t="s">
        <v>46</v>
      </c>
      <c r="U242" s="39">
        <v>729.82</v>
      </c>
      <c r="V242" s="25">
        <f t="shared" si="50"/>
        <v>29.82000000000005</v>
      </c>
      <c r="W242" s="137">
        <v>0</v>
      </c>
      <c r="X242" s="137">
        <v>0</v>
      </c>
      <c r="Y242" s="124"/>
      <c r="Z242" s="124"/>
      <c r="AA242" s="124"/>
      <c r="AB242" s="124">
        <v>7.5</v>
      </c>
      <c r="AC242" s="130">
        <v>7.5</v>
      </c>
      <c r="AD242" s="45">
        <v>7</v>
      </c>
      <c r="AE242" s="46">
        <v>2000</v>
      </c>
      <c r="AF242" s="47">
        <v>45</v>
      </c>
      <c r="AG242" s="167">
        <f t="shared" si="40"/>
        <v>14.377500000000026</v>
      </c>
      <c r="AH242" s="168" t="str">
        <f t="shared" si="41"/>
        <v/>
      </c>
      <c r="AI242" s="168">
        <f t="shared" si="42"/>
        <v>639.00000000000114</v>
      </c>
      <c r="AJ242" s="167" t="str">
        <f t="shared" si="43"/>
        <v/>
      </c>
      <c r="AK242" s="167">
        <f t="shared" si="44"/>
        <v>5460000</v>
      </c>
      <c r="AL242" s="167">
        <f t="shared" si="45"/>
        <v>232596.00000000044</v>
      </c>
      <c r="AM242" s="167" t="str">
        <f t="shared" si="46"/>
        <v/>
      </c>
    </row>
    <row r="243" spans="1:39" hidden="1" x14ac:dyDescent="0.25">
      <c r="A243" s="144" t="s">
        <v>239</v>
      </c>
      <c r="B243" s="144" t="s">
        <v>201</v>
      </c>
      <c r="C243" s="144" t="s">
        <v>240</v>
      </c>
      <c r="D243" s="128"/>
      <c r="E243" s="128">
        <v>1</v>
      </c>
      <c r="F243" s="128"/>
      <c r="G243" s="128">
        <v>1</v>
      </c>
      <c r="H243" s="128">
        <v>1</v>
      </c>
      <c r="I243" s="128"/>
      <c r="J243" s="99" t="s">
        <v>193</v>
      </c>
      <c r="K243" s="42" t="s">
        <v>207</v>
      </c>
      <c r="L243" s="37">
        <v>4.5</v>
      </c>
      <c r="M243" s="37">
        <v>21</v>
      </c>
      <c r="N243" s="42"/>
      <c r="O243" s="42"/>
      <c r="P243" s="42"/>
      <c r="Q243" s="42"/>
      <c r="R243" s="37"/>
      <c r="S243" s="38">
        <v>5000</v>
      </c>
      <c r="T243" s="43" t="s">
        <v>46</v>
      </c>
      <c r="U243" s="39">
        <v>4930</v>
      </c>
      <c r="V243" s="129">
        <v>-70</v>
      </c>
      <c r="W243" s="137">
        <v>0</v>
      </c>
      <c r="X243" s="137">
        <v>0</v>
      </c>
      <c r="Y243" s="124"/>
      <c r="Z243" s="124"/>
      <c r="AA243" s="124"/>
      <c r="AB243" s="124">
        <v>8.5</v>
      </c>
      <c r="AC243" s="130">
        <v>8.5</v>
      </c>
      <c r="AD243" s="45">
        <v>6</v>
      </c>
      <c r="AE243" s="46">
        <v>30</v>
      </c>
      <c r="AF243" s="47">
        <v>21</v>
      </c>
      <c r="AG243" s="167" t="str">
        <f t="shared" si="40"/>
        <v/>
      </c>
      <c r="AH243" s="168">
        <f t="shared" si="41"/>
        <v>-2.4989999999999997</v>
      </c>
      <c r="AI243" s="168" t="str">
        <f t="shared" si="42"/>
        <v/>
      </c>
      <c r="AJ243" s="167">
        <f t="shared" si="43"/>
        <v>-3.57</v>
      </c>
      <c r="AK243" s="167">
        <f t="shared" si="44"/>
        <v>79560</v>
      </c>
      <c r="AL243" s="167" t="str">
        <f t="shared" si="45"/>
        <v/>
      </c>
      <c r="AM243" s="167">
        <f t="shared" si="46"/>
        <v>1113.8399999999999</v>
      </c>
    </row>
    <row r="244" spans="1:39" x14ac:dyDescent="0.25">
      <c r="A244" s="144" t="s">
        <v>241</v>
      </c>
      <c r="B244" s="144" t="s">
        <v>42</v>
      </c>
      <c r="C244" s="144" t="s">
        <v>242</v>
      </c>
      <c r="D244" s="128"/>
      <c r="E244" s="128">
        <v>1</v>
      </c>
      <c r="F244" s="128"/>
      <c r="G244" s="128"/>
      <c r="H244" s="128"/>
      <c r="I244" s="128"/>
      <c r="J244" s="99" t="s">
        <v>141</v>
      </c>
      <c r="K244" s="42" t="s">
        <v>204</v>
      </c>
      <c r="L244" s="37">
        <v>4.5</v>
      </c>
      <c r="M244" s="37">
        <v>61</v>
      </c>
      <c r="N244" s="42"/>
      <c r="O244" s="42"/>
      <c r="P244" s="42"/>
      <c r="Q244" s="42"/>
      <c r="R244" s="37"/>
      <c r="S244" s="38">
        <v>700</v>
      </c>
      <c r="T244" s="43" t="s">
        <v>46</v>
      </c>
      <c r="U244" s="39">
        <v>715.01</v>
      </c>
      <c r="V244" s="25">
        <f t="shared" ref="V244:V269" si="51">-S244+U244</f>
        <v>15.009999999999991</v>
      </c>
      <c r="W244" s="137">
        <v>0</v>
      </c>
      <c r="X244" s="137">
        <v>0</v>
      </c>
      <c r="Y244" s="124"/>
      <c r="Z244" s="124"/>
      <c r="AA244" s="124"/>
      <c r="AB244" s="124">
        <v>6.5</v>
      </c>
      <c r="AC244" s="130">
        <f t="shared" ref="AC244:AC282" si="52">IF(AA244&gt;0,AA244/1000*S244/R244,AB244)</f>
        <v>6.5</v>
      </c>
      <c r="AD244" s="45">
        <v>7</v>
      </c>
      <c r="AE244" s="46">
        <v>1000</v>
      </c>
      <c r="AF244" s="47">
        <v>61</v>
      </c>
      <c r="AG244" s="167">
        <f t="shared" si="40"/>
        <v>8.502092857142852</v>
      </c>
      <c r="AH244" s="168" t="str">
        <f t="shared" si="41"/>
        <v/>
      </c>
      <c r="AI244" s="168">
        <f t="shared" si="42"/>
        <v>139.37857142857135</v>
      </c>
      <c r="AJ244" s="167" t="str">
        <f t="shared" si="43"/>
        <v/>
      </c>
      <c r="AK244" s="167">
        <f t="shared" si="44"/>
        <v>2366000</v>
      </c>
      <c r="AL244" s="167">
        <f t="shared" si="45"/>
        <v>50733.799999999967</v>
      </c>
      <c r="AM244" s="167" t="str">
        <f t="shared" si="46"/>
        <v/>
      </c>
    </row>
    <row r="245" spans="1:39" x14ac:dyDescent="0.25">
      <c r="A245" s="144"/>
      <c r="B245" s="144"/>
      <c r="C245" s="144"/>
      <c r="D245" s="128"/>
      <c r="E245" s="128"/>
      <c r="F245" s="128"/>
      <c r="G245" s="128"/>
      <c r="H245" s="128"/>
      <c r="I245" s="128"/>
      <c r="J245" s="99" t="s">
        <v>142</v>
      </c>
      <c r="K245" s="42" t="s">
        <v>48</v>
      </c>
      <c r="L245" s="37">
        <v>4.5</v>
      </c>
      <c r="M245" s="37">
        <v>53</v>
      </c>
      <c r="N245" s="42"/>
      <c r="O245" s="42"/>
      <c r="P245" s="42"/>
      <c r="Q245" s="42"/>
      <c r="R245" s="37"/>
      <c r="S245" s="38">
        <v>700</v>
      </c>
      <c r="T245" s="43" t="s">
        <v>46</v>
      </c>
      <c r="U245" s="39">
        <v>717.24</v>
      </c>
      <c r="V245" s="25">
        <f t="shared" si="51"/>
        <v>17.240000000000009</v>
      </c>
      <c r="W245" s="137">
        <v>0</v>
      </c>
      <c r="X245" s="137">
        <v>0</v>
      </c>
      <c r="Y245" s="124"/>
      <c r="Z245" s="124"/>
      <c r="AA245" s="124"/>
      <c r="AB245" s="124">
        <v>5.99</v>
      </c>
      <c r="AC245" s="130">
        <f t="shared" si="52"/>
        <v>5.99</v>
      </c>
      <c r="AD245" s="45">
        <v>7</v>
      </c>
      <c r="AE245" s="46">
        <v>800</v>
      </c>
      <c r="AF245" s="47">
        <v>53</v>
      </c>
      <c r="AG245" s="167">
        <f t="shared" si="40"/>
        <v>7.818832571428576</v>
      </c>
      <c r="AH245" s="168" t="str">
        <f t="shared" si="41"/>
        <v/>
      </c>
      <c r="AI245" s="168">
        <f t="shared" si="42"/>
        <v>118.02011428571436</v>
      </c>
      <c r="AJ245" s="167" t="str">
        <f t="shared" si="43"/>
        <v/>
      </c>
      <c r="AK245" s="167">
        <f t="shared" si="44"/>
        <v>1744288</v>
      </c>
      <c r="AL245" s="167">
        <f t="shared" si="45"/>
        <v>42959.321600000025</v>
      </c>
      <c r="AM245" s="167" t="str">
        <f t="shared" si="46"/>
        <v/>
      </c>
    </row>
    <row r="246" spans="1:39" x14ac:dyDescent="0.25">
      <c r="A246" s="144" t="s">
        <v>243</v>
      </c>
      <c r="B246" s="144" t="s">
        <v>42</v>
      </c>
      <c r="C246" s="144" t="s">
        <v>244</v>
      </c>
      <c r="D246" s="128"/>
      <c r="E246" s="128">
        <v>1</v>
      </c>
      <c r="F246" s="128"/>
      <c r="G246" s="128"/>
      <c r="H246" s="128"/>
      <c r="I246" s="128"/>
      <c r="J246" s="99" t="s">
        <v>141</v>
      </c>
      <c r="K246" s="42" t="s">
        <v>204</v>
      </c>
      <c r="L246" s="37">
        <v>4.5</v>
      </c>
      <c r="M246" s="37">
        <v>17</v>
      </c>
      <c r="N246" s="42"/>
      <c r="O246" s="42"/>
      <c r="P246" s="42"/>
      <c r="Q246" s="42"/>
      <c r="R246" s="37"/>
      <c r="S246" s="38">
        <v>700</v>
      </c>
      <c r="T246" s="43" t="s">
        <v>46</v>
      </c>
      <c r="U246" s="39">
        <v>681.5</v>
      </c>
      <c r="V246" s="25">
        <f t="shared" si="51"/>
        <v>-18.5</v>
      </c>
      <c r="W246" s="137">
        <v>0</v>
      </c>
      <c r="X246" s="137">
        <v>0</v>
      </c>
      <c r="Y246" s="124"/>
      <c r="Z246" s="124"/>
      <c r="AA246" s="124"/>
      <c r="AB246" s="124">
        <v>7.3</v>
      </c>
      <c r="AC246" s="130">
        <f t="shared" si="52"/>
        <v>7.3</v>
      </c>
      <c r="AD246" s="45">
        <v>6</v>
      </c>
      <c r="AE246" s="46">
        <v>500</v>
      </c>
      <c r="AF246" s="47">
        <v>17</v>
      </c>
      <c r="AG246" s="167" t="str">
        <f t="shared" si="40"/>
        <v/>
      </c>
      <c r="AH246" s="168">
        <f t="shared" si="41"/>
        <v>-3.2797857142857141</v>
      </c>
      <c r="AI246" s="168" t="str">
        <f t="shared" si="42"/>
        <v/>
      </c>
      <c r="AJ246" s="167">
        <f t="shared" si="43"/>
        <v>-96.464285714285708</v>
      </c>
      <c r="AK246" s="167">
        <f t="shared" si="44"/>
        <v>1138800</v>
      </c>
      <c r="AL246" s="167" t="str">
        <f t="shared" si="45"/>
        <v/>
      </c>
      <c r="AM246" s="167">
        <f t="shared" si="46"/>
        <v>30096.857142857138</v>
      </c>
    </row>
    <row r="247" spans="1:39" x14ac:dyDescent="0.25">
      <c r="A247" s="144"/>
      <c r="B247" s="144"/>
      <c r="C247" s="144"/>
      <c r="D247" s="128"/>
      <c r="E247" s="128"/>
      <c r="F247" s="128"/>
      <c r="G247" s="128"/>
      <c r="H247" s="128"/>
      <c r="I247" s="128"/>
      <c r="J247" s="99" t="s">
        <v>142</v>
      </c>
      <c r="K247" s="42" t="s">
        <v>48</v>
      </c>
      <c r="L247" s="37">
        <v>4.5</v>
      </c>
      <c r="M247" s="37">
        <v>18</v>
      </c>
      <c r="N247" s="42"/>
      <c r="O247" s="42"/>
      <c r="P247" s="42"/>
      <c r="Q247" s="42"/>
      <c r="R247" s="37"/>
      <c r="S247" s="38">
        <v>700</v>
      </c>
      <c r="T247" s="43" t="s">
        <v>46</v>
      </c>
      <c r="U247" s="39">
        <v>662.77</v>
      </c>
      <c r="V247" s="25">
        <f t="shared" si="51"/>
        <v>-37.230000000000018</v>
      </c>
      <c r="W247" s="137">
        <v>0</v>
      </c>
      <c r="X247" s="137">
        <v>0</v>
      </c>
      <c r="Y247" s="124"/>
      <c r="Z247" s="124"/>
      <c r="AA247" s="124"/>
      <c r="AB247" s="124">
        <v>7.8</v>
      </c>
      <c r="AC247" s="130">
        <f t="shared" si="52"/>
        <v>7.8</v>
      </c>
      <c r="AD247" s="45">
        <v>6</v>
      </c>
      <c r="AE247" s="46">
        <v>800</v>
      </c>
      <c r="AF247" s="47">
        <v>18</v>
      </c>
      <c r="AG247" s="167" t="str">
        <f t="shared" si="40"/>
        <v/>
      </c>
      <c r="AH247" s="168">
        <f t="shared" si="41"/>
        <v>-7.4672742857142884</v>
      </c>
      <c r="AI247" s="168" t="str">
        <f t="shared" si="42"/>
        <v/>
      </c>
      <c r="AJ247" s="167">
        <f t="shared" si="43"/>
        <v>-331.87885714285727</v>
      </c>
      <c r="AK247" s="167">
        <f t="shared" si="44"/>
        <v>1946880</v>
      </c>
      <c r="AL247" s="167" t="str">
        <f t="shared" si="45"/>
        <v/>
      </c>
      <c r="AM247" s="167">
        <f t="shared" si="46"/>
        <v>103546.20342857148</v>
      </c>
    </row>
    <row r="248" spans="1:39" x14ac:dyDescent="0.25">
      <c r="A248" s="144" t="s">
        <v>245</v>
      </c>
      <c r="B248" s="144" t="s">
        <v>42</v>
      </c>
      <c r="C248" s="144" t="s">
        <v>246</v>
      </c>
      <c r="D248" s="128"/>
      <c r="E248" s="128">
        <v>1</v>
      </c>
      <c r="F248" s="128"/>
      <c r="G248" s="128"/>
      <c r="H248" s="128"/>
      <c r="I248" s="128"/>
      <c r="J248" s="99" t="s">
        <v>142</v>
      </c>
      <c r="K248" s="42" t="s">
        <v>48</v>
      </c>
      <c r="L248" s="37">
        <v>4.5</v>
      </c>
      <c r="M248" s="37">
        <v>32</v>
      </c>
      <c r="N248" s="42"/>
      <c r="O248" s="42"/>
      <c r="P248" s="42"/>
      <c r="Q248" s="42"/>
      <c r="R248" s="37"/>
      <c r="S248" s="38">
        <v>700</v>
      </c>
      <c r="T248" s="43" t="s">
        <v>46</v>
      </c>
      <c r="U248" s="39">
        <v>716.75</v>
      </c>
      <c r="V248" s="25">
        <f t="shared" si="51"/>
        <v>16.75</v>
      </c>
      <c r="W248" s="137">
        <v>0</v>
      </c>
      <c r="X248" s="137">
        <v>0</v>
      </c>
      <c r="Y248" s="124"/>
      <c r="Z248" s="124"/>
      <c r="AA248" s="124"/>
      <c r="AB248" s="124">
        <v>6.49</v>
      </c>
      <c r="AC248" s="130">
        <f t="shared" si="52"/>
        <v>6.49</v>
      </c>
      <c r="AD248" s="45">
        <v>7</v>
      </c>
      <c r="AE248" s="46">
        <v>1800</v>
      </c>
      <c r="AF248" s="47">
        <v>32</v>
      </c>
      <c r="AG248" s="167">
        <f t="shared" si="40"/>
        <v>4.9694857142857138</v>
      </c>
      <c r="AH248" s="168" t="str">
        <f t="shared" si="41"/>
        <v/>
      </c>
      <c r="AI248" s="168">
        <f t="shared" si="42"/>
        <v>279.53357142857141</v>
      </c>
      <c r="AJ248" s="167" t="str">
        <f t="shared" si="43"/>
        <v/>
      </c>
      <c r="AK248" s="167">
        <f t="shared" si="44"/>
        <v>4252248</v>
      </c>
      <c r="AL248" s="167">
        <f t="shared" si="45"/>
        <v>101750.22</v>
      </c>
      <c r="AM248" s="167" t="str">
        <f t="shared" si="46"/>
        <v/>
      </c>
    </row>
    <row r="249" spans="1:39" x14ac:dyDescent="0.25">
      <c r="A249" s="144"/>
      <c r="B249" s="144"/>
      <c r="C249" s="144"/>
      <c r="D249" s="128"/>
      <c r="E249" s="128"/>
      <c r="F249" s="128"/>
      <c r="G249" s="128"/>
      <c r="H249" s="128"/>
      <c r="I249" s="128"/>
      <c r="J249" s="99" t="s">
        <v>141</v>
      </c>
      <c r="K249" s="42" t="s">
        <v>204</v>
      </c>
      <c r="L249" s="37">
        <v>4.5</v>
      </c>
      <c r="M249" s="37">
        <v>44</v>
      </c>
      <c r="N249" s="42"/>
      <c r="O249" s="42"/>
      <c r="P249" s="42"/>
      <c r="Q249" s="42"/>
      <c r="R249" s="37"/>
      <c r="S249" s="38">
        <v>700</v>
      </c>
      <c r="T249" s="43" t="s">
        <v>46</v>
      </c>
      <c r="U249" s="39">
        <v>728.31</v>
      </c>
      <c r="V249" s="25">
        <f t="shared" si="51"/>
        <v>28.309999999999945</v>
      </c>
      <c r="W249" s="137">
        <v>0</v>
      </c>
      <c r="X249" s="137">
        <v>0</v>
      </c>
      <c r="Y249" s="124"/>
      <c r="Z249" s="124"/>
      <c r="AA249" s="124"/>
      <c r="AB249" s="124">
        <v>5.79</v>
      </c>
      <c r="AC249" s="130">
        <f t="shared" si="52"/>
        <v>5.79</v>
      </c>
      <c r="AD249" s="45">
        <v>7</v>
      </c>
      <c r="AE249" s="46">
        <v>1800</v>
      </c>
      <c r="AF249" s="47">
        <v>44</v>
      </c>
      <c r="AG249" s="167">
        <f t="shared" si="40"/>
        <v>10.303222285714266</v>
      </c>
      <c r="AH249" s="168" t="str">
        <f t="shared" si="41"/>
        <v/>
      </c>
      <c r="AI249" s="168">
        <f t="shared" si="42"/>
        <v>421.49545714285637</v>
      </c>
      <c r="AJ249" s="167" t="str">
        <f t="shared" si="43"/>
        <v/>
      </c>
      <c r="AK249" s="167">
        <f t="shared" si="44"/>
        <v>3793608</v>
      </c>
      <c r="AL249" s="167">
        <f t="shared" si="45"/>
        <v>153424.34639999972</v>
      </c>
      <c r="AM249" s="167" t="str">
        <f t="shared" si="46"/>
        <v/>
      </c>
    </row>
    <row r="250" spans="1:39" x14ac:dyDescent="0.25">
      <c r="A250" s="144" t="s">
        <v>528</v>
      </c>
      <c r="B250" s="144" t="s">
        <v>42</v>
      </c>
      <c r="C250" s="144" t="s">
        <v>529</v>
      </c>
      <c r="D250" s="128"/>
      <c r="E250" s="128">
        <v>1</v>
      </c>
      <c r="F250" s="128"/>
      <c r="G250" s="128"/>
      <c r="H250" s="128"/>
      <c r="I250" s="128"/>
      <c r="J250" s="99" t="s">
        <v>141</v>
      </c>
      <c r="K250" s="42" t="s">
        <v>204</v>
      </c>
      <c r="L250" s="37">
        <v>4.5</v>
      </c>
      <c r="M250" s="37">
        <v>50</v>
      </c>
      <c r="N250" s="42"/>
      <c r="O250" s="42"/>
      <c r="P250" s="42"/>
      <c r="Q250" s="42"/>
      <c r="R250" s="37"/>
      <c r="S250" s="38">
        <v>700</v>
      </c>
      <c r="T250" s="43" t="s">
        <v>46</v>
      </c>
      <c r="U250" s="39">
        <v>722.68</v>
      </c>
      <c r="V250" s="25">
        <f t="shared" si="51"/>
        <v>22.67999999999995</v>
      </c>
      <c r="W250" s="137">
        <v>0</v>
      </c>
      <c r="X250" s="137">
        <v>0</v>
      </c>
      <c r="Y250" s="124"/>
      <c r="Z250" s="124"/>
      <c r="AA250" s="124"/>
      <c r="AB250" s="124">
        <v>5.79</v>
      </c>
      <c r="AC250" s="130">
        <f t="shared" si="52"/>
        <v>5.79</v>
      </c>
      <c r="AD250" s="45">
        <v>7</v>
      </c>
      <c r="AE250" s="46">
        <v>1800</v>
      </c>
      <c r="AF250" s="47">
        <v>50</v>
      </c>
      <c r="AG250" s="167">
        <f t="shared" si="40"/>
        <v>9.3797999999999799</v>
      </c>
      <c r="AH250" s="168" t="str">
        <f t="shared" si="41"/>
        <v/>
      </c>
      <c r="AI250" s="168">
        <f t="shared" si="42"/>
        <v>337.67279999999926</v>
      </c>
      <c r="AJ250" s="167" t="str">
        <f t="shared" si="43"/>
        <v/>
      </c>
      <c r="AK250" s="167">
        <f t="shared" si="44"/>
        <v>3793608</v>
      </c>
      <c r="AL250" s="167">
        <f t="shared" si="45"/>
        <v>122912.89919999972</v>
      </c>
      <c r="AM250" s="167" t="str">
        <f t="shared" si="46"/>
        <v/>
      </c>
    </row>
    <row r="251" spans="1:39" x14ac:dyDescent="0.25">
      <c r="A251" s="128"/>
      <c r="B251" s="128"/>
      <c r="C251" s="128"/>
      <c r="D251" s="128"/>
      <c r="E251" s="128"/>
      <c r="F251" s="128"/>
      <c r="G251" s="128"/>
      <c r="H251" s="128"/>
      <c r="I251" s="128"/>
      <c r="J251" s="99" t="s">
        <v>142</v>
      </c>
      <c r="K251" s="42" t="s">
        <v>48</v>
      </c>
      <c r="L251" s="37">
        <v>4.5</v>
      </c>
      <c r="M251" s="37">
        <v>36</v>
      </c>
      <c r="N251" s="42"/>
      <c r="O251" s="42"/>
      <c r="P251" s="42"/>
      <c r="Q251" s="42"/>
      <c r="R251" s="37"/>
      <c r="S251" s="38">
        <v>700</v>
      </c>
      <c r="T251" s="43" t="s">
        <v>46</v>
      </c>
      <c r="U251" s="39">
        <v>720.27</v>
      </c>
      <c r="V251" s="25">
        <f t="shared" si="51"/>
        <v>20.269999999999982</v>
      </c>
      <c r="W251" s="137">
        <v>0</v>
      </c>
      <c r="X251" s="137">
        <v>0</v>
      </c>
      <c r="Y251" s="124"/>
      <c r="Z251" s="124"/>
      <c r="AA251" s="124"/>
      <c r="AB251" s="124">
        <v>6.99</v>
      </c>
      <c r="AC251" s="130">
        <f t="shared" si="52"/>
        <v>6.99</v>
      </c>
      <c r="AD251" s="45">
        <v>7</v>
      </c>
      <c r="AE251" s="46">
        <v>1000</v>
      </c>
      <c r="AF251" s="47">
        <v>36</v>
      </c>
      <c r="AG251" s="167">
        <f t="shared" si="40"/>
        <v>7.2867754285714215</v>
      </c>
      <c r="AH251" s="168" t="str">
        <f t="shared" si="41"/>
        <v/>
      </c>
      <c r="AI251" s="168">
        <f t="shared" si="42"/>
        <v>202.41042857142838</v>
      </c>
      <c r="AJ251" s="167" t="str">
        <f t="shared" si="43"/>
        <v/>
      </c>
      <c r="AK251" s="167">
        <f t="shared" si="44"/>
        <v>2544360</v>
      </c>
      <c r="AL251" s="167">
        <f t="shared" si="45"/>
        <v>73677.395999999935</v>
      </c>
      <c r="AM251" s="167" t="str">
        <f t="shared" si="46"/>
        <v/>
      </c>
    </row>
    <row r="252" spans="1:39" x14ac:dyDescent="0.25">
      <c r="A252" s="128" t="s">
        <v>530</v>
      </c>
      <c r="B252" s="128" t="s">
        <v>42</v>
      </c>
      <c r="C252" s="128" t="s">
        <v>531</v>
      </c>
      <c r="D252" s="128"/>
      <c r="E252" s="128">
        <v>1</v>
      </c>
      <c r="F252" s="128"/>
      <c r="G252" s="128"/>
      <c r="H252" s="128"/>
      <c r="I252" s="128"/>
      <c r="J252" s="99" t="s">
        <v>141</v>
      </c>
      <c r="K252" s="42" t="s">
        <v>204</v>
      </c>
      <c r="L252" s="37">
        <v>4.5</v>
      </c>
      <c r="M252" s="37">
        <v>23</v>
      </c>
      <c r="N252" s="42"/>
      <c r="O252" s="42"/>
      <c r="P252" s="42"/>
      <c r="Q252" s="42"/>
      <c r="R252" s="37"/>
      <c r="S252" s="38">
        <v>700</v>
      </c>
      <c r="T252" s="43" t="s">
        <v>46</v>
      </c>
      <c r="U252" s="39">
        <v>719</v>
      </c>
      <c r="V252" s="25">
        <f t="shared" si="51"/>
        <v>19</v>
      </c>
      <c r="W252" s="137">
        <v>0</v>
      </c>
      <c r="X252" s="137">
        <v>0</v>
      </c>
      <c r="Y252" s="124"/>
      <c r="Z252" s="124"/>
      <c r="AA252" s="124"/>
      <c r="AB252" s="124">
        <v>6.79</v>
      </c>
      <c r="AC252" s="130">
        <f t="shared" si="52"/>
        <v>6.79</v>
      </c>
      <c r="AD252" s="45">
        <v>7</v>
      </c>
      <c r="AE252" s="46">
        <v>1000</v>
      </c>
      <c r="AF252" s="47">
        <v>23</v>
      </c>
      <c r="AG252" s="167">
        <f t="shared" si="40"/>
        <v>4.2389000000000001</v>
      </c>
      <c r="AH252" s="168" t="str">
        <f t="shared" si="41"/>
        <v/>
      </c>
      <c r="AI252" s="168">
        <f t="shared" si="42"/>
        <v>184.3</v>
      </c>
      <c r="AJ252" s="167" t="str">
        <f t="shared" si="43"/>
        <v/>
      </c>
      <c r="AK252" s="167">
        <f t="shared" si="44"/>
        <v>2471560</v>
      </c>
      <c r="AL252" s="167">
        <f t="shared" si="45"/>
        <v>67085.200000000012</v>
      </c>
      <c r="AM252" s="167" t="str">
        <f t="shared" si="46"/>
        <v/>
      </c>
    </row>
    <row r="253" spans="1:39" x14ac:dyDescent="0.25">
      <c r="A253" s="128"/>
      <c r="B253" s="128"/>
      <c r="C253" s="128"/>
      <c r="D253" s="128"/>
      <c r="E253" s="128"/>
      <c r="F253" s="128"/>
      <c r="G253" s="128"/>
      <c r="H253" s="128"/>
      <c r="I253" s="128"/>
      <c r="J253" s="99" t="s">
        <v>142</v>
      </c>
      <c r="K253" s="42" t="s">
        <v>48</v>
      </c>
      <c r="L253" s="37">
        <v>4.5</v>
      </c>
      <c r="M253" s="37">
        <v>29</v>
      </c>
      <c r="N253" s="42"/>
      <c r="O253" s="42"/>
      <c r="P253" s="42"/>
      <c r="Q253" s="42"/>
      <c r="R253" s="37"/>
      <c r="S253" s="38">
        <v>700</v>
      </c>
      <c r="T253" s="43" t="s">
        <v>46</v>
      </c>
      <c r="U253" s="39">
        <v>691.9</v>
      </c>
      <c r="V253" s="25">
        <f t="shared" si="51"/>
        <v>-8.1000000000000227</v>
      </c>
      <c r="W253" s="137">
        <v>0</v>
      </c>
      <c r="X253" s="137">
        <v>0</v>
      </c>
      <c r="Y253" s="124"/>
      <c r="Z253" s="124"/>
      <c r="AA253" s="124"/>
      <c r="AB253" s="124">
        <v>7.99</v>
      </c>
      <c r="AC253" s="130">
        <f t="shared" si="52"/>
        <v>7.99</v>
      </c>
      <c r="AD253" s="45">
        <v>7</v>
      </c>
      <c r="AE253" s="46">
        <v>1000</v>
      </c>
      <c r="AF253" s="47">
        <v>29</v>
      </c>
      <c r="AG253" s="167" t="str">
        <f t="shared" si="40"/>
        <v/>
      </c>
      <c r="AH253" s="168">
        <f t="shared" si="41"/>
        <v>-2.681215714285722</v>
      </c>
      <c r="AI253" s="168" t="str">
        <f t="shared" si="42"/>
        <v/>
      </c>
      <c r="AJ253" s="167">
        <f t="shared" si="43"/>
        <v>-92.455714285714564</v>
      </c>
      <c r="AK253" s="167">
        <f t="shared" si="44"/>
        <v>2908360</v>
      </c>
      <c r="AL253" s="167" t="str">
        <f t="shared" si="45"/>
        <v/>
      </c>
      <c r="AM253" s="167">
        <f t="shared" si="46"/>
        <v>33653.880000000107</v>
      </c>
    </row>
    <row r="254" spans="1:39" x14ac:dyDescent="0.25">
      <c r="A254" s="128" t="s">
        <v>532</v>
      </c>
      <c r="B254" s="128" t="s">
        <v>42</v>
      </c>
      <c r="C254" s="128" t="s">
        <v>533</v>
      </c>
      <c r="D254" s="128"/>
      <c r="E254" s="128">
        <v>1</v>
      </c>
      <c r="F254" s="128"/>
      <c r="G254" s="128"/>
      <c r="H254" s="128"/>
      <c r="I254" s="128"/>
      <c r="J254" s="99" t="s">
        <v>141</v>
      </c>
      <c r="K254" s="42" t="s">
        <v>204</v>
      </c>
      <c r="L254" s="37">
        <v>4.5</v>
      </c>
      <c r="M254" s="37">
        <v>40</v>
      </c>
      <c r="N254" s="42"/>
      <c r="O254" s="42"/>
      <c r="P254" s="42"/>
      <c r="Q254" s="42"/>
      <c r="R254" s="37"/>
      <c r="S254" s="38">
        <v>700</v>
      </c>
      <c r="T254" s="43" t="s">
        <v>46</v>
      </c>
      <c r="U254" s="39">
        <v>737.6</v>
      </c>
      <c r="V254" s="25">
        <f t="shared" si="51"/>
        <v>37.600000000000023</v>
      </c>
      <c r="W254" s="137">
        <v>0</v>
      </c>
      <c r="X254" s="137">
        <v>0</v>
      </c>
      <c r="Y254" s="124"/>
      <c r="Z254" s="124"/>
      <c r="AA254" s="124"/>
      <c r="AB254" s="124">
        <v>6.79</v>
      </c>
      <c r="AC254" s="130">
        <f t="shared" si="52"/>
        <v>6.79</v>
      </c>
      <c r="AD254" s="45">
        <v>7</v>
      </c>
      <c r="AE254" s="46">
        <v>1800</v>
      </c>
      <c r="AF254" s="47">
        <v>40</v>
      </c>
      <c r="AG254" s="167">
        <f t="shared" si="40"/>
        <v>14.588800000000008</v>
      </c>
      <c r="AH254" s="168" t="str">
        <f t="shared" si="41"/>
        <v/>
      </c>
      <c r="AI254" s="168">
        <f t="shared" si="42"/>
        <v>656.49600000000044</v>
      </c>
      <c r="AJ254" s="167" t="str">
        <f t="shared" si="43"/>
        <v/>
      </c>
      <c r="AK254" s="167">
        <f t="shared" si="44"/>
        <v>4448808</v>
      </c>
      <c r="AL254" s="167">
        <f t="shared" si="45"/>
        <v>238964.54400000017</v>
      </c>
      <c r="AM254" s="167" t="str">
        <f t="shared" si="46"/>
        <v/>
      </c>
    </row>
    <row r="255" spans="1:39" x14ac:dyDescent="0.25">
      <c r="A255" s="128"/>
      <c r="B255" s="128"/>
      <c r="C255" s="128"/>
      <c r="D255" s="128"/>
      <c r="E255" s="128"/>
      <c r="F255" s="128"/>
      <c r="G255" s="128"/>
      <c r="H255" s="128"/>
      <c r="I255" s="128"/>
      <c r="J255" s="99" t="s">
        <v>142</v>
      </c>
      <c r="K255" s="42" t="s">
        <v>48</v>
      </c>
      <c r="L255" s="37">
        <v>4.5</v>
      </c>
      <c r="M255" s="37">
        <v>55</v>
      </c>
      <c r="N255" s="42"/>
      <c r="O255" s="42"/>
      <c r="P255" s="42"/>
      <c r="Q255" s="42"/>
      <c r="R255" s="37"/>
      <c r="S255" s="38">
        <v>700</v>
      </c>
      <c r="T255" s="43" t="s">
        <v>46</v>
      </c>
      <c r="U255" s="39">
        <v>719.2</v>
      </c>
      <c r="V255" s="25">
        <f t="shared" si="51"/>
        <v>19.200000000000045</v>
      </c>
      <c r="W255" s="137">
        <v>0</v>
      </c>
      <c r="X255" s="137">
        <v>0</v>
      </c>
      <c r="Y255" s="124"/>
      <c r="Z255" s="124"/>
      <c r="AA255" s="124"/>
      <c r="AB255" s="124">
        <v>7.99</v>
      </c>
      <c r="AC255" s="130">
        <f t="shared" si="52"/>
        <v>7.99</v>
      </c>
      <c r="AD255" s="45">
        <v>7</v>
      </c>
      <c r="AE255" s="46">
        <v>1800</v>
      </c>
      <c r="AF255" s="47">
        <v>55</v>
      </c>
      <c r="AG255" s="167">
        <f t="shared" si="40"/>
        <v>12.053485714285744</v>
      </c>
      <c r="AH255" s="168" t="str">
        <f t="shared" si="41"/>
        <v/>
      </c>
      <c r="AI255" s="168">
        <f t="shared" si="42"/>
        <v>394.47771428571525</v>
      </c>
      <c r="AJ255" s="167" t="str">
        <f t="shared" si="43"/>
        <v/>
      </c>
      <c r="AK255" s="167">
        <f t="shared" si="44"/>
        <v>5235048</v>
      </c>
      <c r="AL255" s="167">
        <f t="shared" si="45"/>
        <v>143589.88800000036</v>
      </c>
      <c r="AM255" s="167" t="str">
        <f t="shared" si="46"/>
        <v/>
      </c>
    </row>
    <row r="256" spans="1:39" x14ac:dyDescent="0.25">
      <c r="A256" s="128" t="s">
        <v>534</v>
      </c>
      <c r="B256" s="128" t="s">
        <v>42</v>
      </c>
      <c r="C256" s="128" t="s">
        <v>535</v>
      </c>
      <c r="D256" s="128"/>
      <c r="E256" s="128">
        <v>1</v>
      </c>
      <c r="F256" s="128"/>
      <c r="G256" s="128"/>
      <c r="H256" s="128"/>
      <c r="I256" s="128"/>
      <c r="J256" s="99" t="s">
        <v>140</v>
      </c>
      <c r="K256" s="42" t="s">
        <v>536</v>
      </c>
      <c r="L256" s="37">
        <v>4.5</v>
      </c>
      <c r="M256" s="37">
        <v>24</v>
      </c>
      <c r="N256" s="42"/>
      <c r="O256" s="42"/>
      <c r="P256" s="42"/>
      <c r="Q256" s="42"/>
      <c r="R256" s="37"/>
      <c r="S256" s="38">
        <v>700</v>
      </c>
      <c r="T256" s="43" t="s">
        <v>46</v>
      </c>
      <c r="U256" s="39">
        <v>723</v>
      </c>
      <c r="V256" s="25">
        <f t="shared" si="51"/>
        <v>23</v>
      </c>
      <c r="W256" s="137">
        <v>0</v>
      </c>
      <c r="X256" s="137">
        <v>0</v>
      </c>
      <c r="Y256" s="124"/>
      <c r="Z256" s="124"/>
      <c r="AA256" s="124"/>
      <c r="AB256" s="124">
        <v>9.99</v>
      </c>
      <c r="AC256" s="130">
        <f t="shared" si="52"/>
        <v>9.99</v>
      </c>
      <c r="AD256" s="45">
        <v>7</v>
      </c>
      <c r="AE256" s="46">
        <v>500</v>
      </c>
      <c r="AF256" s="47">
        <v>24</v>
      </c>
      <c r="AG256" s="167">
        <f t="shared" si="40"/>
        <v>7.8778285714285721</v>
      </c>
      <c r="AH256" s="168" t="str">
        <f t="shared" si="41"/>
        <v/>
      </c>
      <c r="AI256" s="168">
        <f t="shared" si="42"/>
        <v>164.12142857142859</v>
      </c>
      <c r="AJ256" s="167" t="str">
        <f t="shared" si="43"/>
        <v/>
      </c>
      <c r="AK256" s="167">
        <f t="shared" si="44"/>
        <v>1818180</v>
      </c>
      <c r="AL256" s="167">
        <f t="shared" si="45"/>
        <v>59740.200000000004</v>
      </c>
      <c r="AM256" s="167" t="str">
        <f t="shared" si="46"/>
        <v/>
      </c>
    </row>
    <row r="257" spans="1:39" x14ac:dyDescent="0.25">
      <c r="A257" s="128"/>
      <c r="B257" s="128"/>
      <c r="C257" s="128"/>
      <c r="D257" s="128"/>
      <c r="E257" s="128"/>
      <c r="F257" s="128"/>
      <c r="G257" s="128"/>
      <c r="H257" s="128"/>
      <c r="I257" s="128"/>
      <c r="J257" s="99" t="s">
        <v>142</v>
      </c>
      <c r="K257" s="42" t="s">
        <v>48</v>
      </c>
      <c r="L257" s="37">
        <v>4.5</v>
      </c>
      <c r="M257" s="37">
        <v>51</v>
      </c>
      <c r="N257" s="42"/>
      <c r="O257" s="42"/>
      <c r="P257" s="42"/>
      <c r="Q257" s="42"/>
      <c r="R257" s="37"/>
      <c r="S257" s="38">
        <v>700</v>
      </c>
      <c r="T257" s="43" t="s">
        <v>46</v>
      </c>
      <c r="U257" s="39">
        <v>678.8</v>
      </c>
      <c r="V257" s="25">
        <f t="shared" si="51"/>
        <v>-21.200000000000045</v>
      </c>
      <c r="W257" s="137">
        <v>0</v>
      </c>
      <c r="X257" s="137">
        <v>0</v>
      </c>
      <c r="Y257" s="124"/>
      <c r="Z257" s="124"/>
      <c r="AA257" s="124"/>
      <c r="AB257" s="124">
        <v>6.99</v>
      </c>
      <c r="AC257" s="130">
        <f t="shared" si="52"/>
        <v>6.99</v>
      </c>
      <c r="AD257" s="45">
        <v>7</v>
      </c>
      <c r="AE257" s="46">
        <v>1200</v>
      </c>
      <c r="AF257" s="47">
        <v>51</v>
      </c>
      <c r="AG257" s="167" t="str">
        <f t="shared" si="40"/>
        <v/>
      </c>
      <c r="AH257" s="168">
        <f t="shared" si="41"/>
        <v>-10.796554285714308</v>
      </c>
      <c r="AI257" s="168" t="str">
        <f t="shared" si="42"/>
        <v/>
      </c>
      <c r="AJ257" s="167">
        <f t="shared" si="43"/>
        <v>-254.03657142857196</v>
      </c>
      <c r="AK257" s="167">
        <f t="shared" si="44"/>
        <v>3053232</v>
      </c>
      <c r="AL257" s="167" t="str">
        <f t="shared" si="45"/>
        <v/>
      </c>
      <c r="AM257" s="167">
        <f t="shared" si="46"/>
        <v>92469.312000000195</v>
      </c>
    </row>
    <row r="258" spans="1:39" x14ac:dyDescent="0.25">
      <c r="A258" s="128"/>
      <c r="B258" s="128"/>
      <c r="C258" s="128"/>
      <c r="D258" s="128"/>
      <c r="E258" s="128">
        <v>1</v>
      </c>
      <c r="F258" s="128"/>
      <c r="G258" s="128"/>
      <c r="H258" s="128"/>
      <c r="I258" s="128"/>
      <c r="J258" s="99" t="s">
        <v>141</v>
      </c>
      <c r="K258" s="42" t="s">
        <v>204</v>
      </c>
      <c r="L258" s="37">
        <v>4.5</v>
      </c>
      <c r="M258" s="37">
        <v>63</v>
      </c>
      <c r="N258" s="42"/>
      <c r="O258" s="42"/>
      <c r="P258" s="42"/>
      <c r="Q258" s="42"/>
      <c r="R258" s="37"/>
      <c r="S258" s="38">
        <v>700</v>
      </c>
      <c r="T258" s="43" t="s">
        <v>46</v>
      </c>
      <c r="U258" s="39">
        <v>674.42</v>
      </c>
      <c r="V258" s="25">
        <f t="shared" si="51"/>
        <v>-25.580000000000041</v>
      </c>
      <c r="W258" s="137">
        <v>0</v>
      </c>
      <c r="X258" s="137">
        <v>0</v>
      </c>
      <c r="Y258" s="124"/>
      <c r="Z258" s="124"/>
      <c r="AA258" s="124"/>
      <c r="AB258" s="124">
        <v>5.99</v>
      </c>
      <c r="AC258" s="130">
        <f t="shared" si="52"/>
        <v>5.99</v>
      </c>
      <c r="AD258" s="45">
        <v>7</v>
      </c>
      <c r="AE258" s="46">
        <v>1200</v>
      </c>
      <c r="AF258" s="47">
        <v>63</v>
      </c>
      <c r="AG258" s="167" t="str">
        <f t="shared" si="40"/>
        <v/>
      </c>
      <c r="AH258" s="168">
        <f t="shared" si="41"/>
        <v>-13.790178000000022</v>
      </c>
      <c r="AI258" s="168" t="str">
        <f t="shared" si="42"/>
        <v/>
      </c>
      <c r="AJ258" s="167">
        <f t="shared" si="43"/>
        <v>-262.67005714285756</v>
      </c>
      <c r="AK258" s="167">
        <f t="shared" si="44"/>
        <v>2616432</v>
      </c>
      <c r="AL258" s="167" t="str">
        <f t="shared" si="45"/>
        <v/>
      </c>
      <c r="AM258" s="167">
        <f t="shared" si="46"/>
        <v>95611.900800000149</v>
      </c>
    </row>
    <row r="259" spans="1:39" x14ac:dyDescent="0.25">
      <c r="A259" s="128" t="s">
        <v>537</v>
      </c>
      <c r="B259" s="128" t="s">
        <v>42</v>
      </c>
      <c r="C259" s="128" t="s">
        <v>538</v>
      </c>
      <c r="D259" s="128"/>
      <c r="E259" s="128">
        <v>1</v>
      </c>
      <c r="F259" s="128"/>
      <c r="G259" s="128"/>
      <c r="H259" s="128"/>
      <c r="I259" s="128"/>
      <c r="J259" s="99" t="s">
        <v>141</v>
      </c>
      <c r="K259" s="42" t="s">
        <v>204</v>
      </c>
      <c r="L259" s="37">
        <v>4.5</v>
      </c>
      <c r="M259" s="37">
        <v>16</v>
      </c>
      <c r="N259" s="42"/>
      <c r="O259" s="42"/>
      <c r="P259" s="42"/>
      <c r="Q259" s="42"/>
      <c r="R259" s="37"/>
      <c r="S259" s="38">
        <v>700</v>
      </c>
      <c r="T259" s="43" t="s">
        <v>46</v>
      </c>
      <c r="U259" s="39">
        <v>717.25</v>
      </c>
      <c r="V259" s="25">
        <f t="shared" si="51"/>
        <v>17.25</v>
      </c>
      <c r="W259" s="137">
        <v>0</v>
      </c>
      <c r="X259" s="137">
        <v>0</v>
      </c>
      <c r="Y259" s="124"/>
      <c r="Z259" s="124"/>
      <c r="AA259" s="124"/>
      <c r="AB259" s="124">
        <v>6.79</v>
      </c>
      <c r="AC259" s="130">
        <f t="shared" si="52"/>
        <v>6.79</v>
      </c>
      <c r="AD259" s="45">
        <v>7</v>
      </c>
      <c r="AE259" s="46">
        <v>800</v>
      </c>
      <c r="AF259" s="47">
        <v>16</v>
      </c>
      <c r="AG259" s="167">
        <f t="shared" si="40"/>
        <v>2.6772</v>
      </c>
      <c r="AH259" s="168" t="str">
        <f t="shared" si="41"/>
        <v/>
      </c>
      <c r="AI259" s="168">
        <f t="shared" si="42"/>
        <v>133.86000000000001</v>
      </c>
      <c r="AJ259" s="167" t="str">
        <f t="shared" si="43"/>
        <v/>
      </c>
      <c r="AK259" s="167">
        <f t="shared" si="44"/>
        <v>1977248</v>
      </c>
      <c r="AL259" s="167">
        <f t="shared" si="45"/>
        <v>48725.040000000008</v>
      </c>
      <c r="AM259" s="167" t="str">
        <f t="shared" si="46"/>
        <v/>
      </c>
    </row>
    <row r="260" spans="1:39" x14ac:dyDescent="0.25">
      <c r="A260" s="128"/>
      <c r="B260" s="128"/>
      <c r="C260" s="128"/>
      <c r="D260" s="128"/>
      <c r="E260" s="128"/>
      <c r="F260" s="128"/>
      <c r="G260" s="128"/>
      <c r="H260" s="128"/>
      <c r="I260" s="128"/>
      <c r="J260" s="99" t="s">
        <v>142</v>
      </c>
      <c r="K260" s="42" t="s">
        <v>48</v>
      </c>
      <c r="L260" s="37">
        <v>4.5</v>
      </c>
      <c r="M260" s="37">
        <v>51</v>
      </c>
      <c r="N260" s="42"/>
      <c r="O260" s="42"/>
      <c r="P260" s="42"/>
      <c r="Q260" s="42"/>
      <c r="R260" s="37"/>
      <c r="S260" s="38">
        <v>700</v>
      </c>
      <c r="T260" s="43" t="s">
        <v>46</v>
      </c>
      <c r="U260" s="39">
        <v>714.78</v>
      </c>
      <c r="V260" s="25">
        <f t="shared" si="51"/>
        <v>14.779999999999973</v>
      </c>
      <c r="W260" s="137">
        <v>0</v>
      </c>
      <c r="X260" s="137">
        <v>0</v>
      </c>
      <c r="Y260" s="124"/>
      <c r="Z260" s="124"/>
      <c r="AA260" s="124"/>
      <c r="AB260" s="124">
        <v>7.99</v>
      </c>
      <c r="AC260" s="130">
        <f t="shared" si="52"/>
        <v>7.99</v>
      </c>
      <c r="AD260" s="45">
        <v>7</v>
      </c>
      <c r="AE260" s="46">
        <v>1000</v>
      </c>
      <c r="AF260" s="47">
        <v>51</v>
      </c>
      <c r="AG260" s="167">
        <f t="shared" si="40"/>
        <v>8.603860285714271</v>
      </c>
      <c r="AH260" s="168" t="str">
        <f t="shared" si="41"/>
        <v/>
      </c>
      <c r="AI260" s="168">
        <f t="shared" si="42"/>
        <v>168.70314285714255</v>
      </c>
      <c r="AJ260" s="167" t="str">
        <f t="shared" si="43"/>
        <v/>
      </c>
      <c r="AK260" s="167">
        <f t="shared" si="44"/>
        <v>2908360</v>
      </c>
      <c r="AL260" s="167">
        <f t="shared" si="45"/>
        <v>61407.943999999887</v>
      </c>
      <c r="AM260" s="167" t="str">
        <f t="shared" si="46"/>
        <v/>
      </c>
    </row>
    <row r="261" spans="1:39" x14ac:dyDescent="0.25">
      <c r="A261" s="128" t="s">
        <v>539</v>
      </c>
      <c r="B261" s="128" t="s">
        <v>42</v>
      </c>
      <c r="C261" s="128" t="s">
        <v>540</v>
      </c>
      <c r="D261" s="128"/>
      <c r="E261" s="128">
        <v>1</v>
      </c>
      <c r="F261" s="128"/>
      <c r="G261" s="128"/>
      <c r="H261" s="128"/>
      <c r="I261" s="128"/>
      <c r="J261" s="99" t="s">
        <v>141</v>
      </c>
      <c r="K261" s="42" t="s">
        <v>204</v>
      </c>
      <c r="L261" s="37">
        <v>4.5</v>
      </c>
      <c r="M261" s="37">
        <v>63</v>
      </c>
      <c r="N261" s="42"/>
      <c r="O261" s="42"/>
      <c r="P261" s="42"/>
      <c r="Q261" s="42"/>
      <c r="R261" s="37"/>
      <c r="S261" s="38">
        <v>700</v>
      </c>
      <c r="T261" s="43" t="s">
        <v>46</v>
      </c>
      <c r="U261" s="39">
        <v>728.21100000000001</v>
      </c>
      <c r="V261" s="25">
        <f t="shared" si="51"/>
        <v>28.211000000000013</v>
      </c>
      <c r="W261" s="137">
        <v>0</v>
      </c>
      <c r="X261" s="137">
        <v>0</v>
      </c>
      <c r="Y261" s="124"/>
      <c r="Z261" s="124"/>
      <c r="AA261" s="124"/>
      <c r="AB261" s="124">
        <v>5.99</v>
      </c>
      <c r="AC261" s="130">
        <f t="shared" si="52"/>
        <v>5.99</v>
      </c>
      <c r="AD261" s="45">
        <v>7</v>
      </c>
      <c r="AE261" s="46">
        <v>1000</v>
      </c>
      <c r="AF261" s="47">
        <v>63</v>
      </c>
      <c r="AG261" s="167">
        <f t="shared" si="40"/>
        <v>15.208550100000007</v>
      </c>
      <c r="AH261" s="168" t="str">
        <f t="shared" si="41"/>
        <v/>
      </c>
      <c r="AI261" s="168">
        <f t="shared" si="42"/>
        <v>241.40555714285725</v>
      </c>
      <c r="AJ261" s="167" t="str">
        <f t="shared" si="43"/>
        <v/>
      </c>
      <c r="AK261" s="167">
        <f t="shared" si="44"/>
        <v>2180360</v>
      </c>
      <c r="AL261" s="167">
        <f t="shared" si="45"/>
        <v>87871.622800000041</v>
      </c>
      <c r="AM261" s="167" t="str">
        <f t="shared" si="46"/>
        <v/>
      </c>
    </row>
    <row r="262" spans="1:39" x14ac:dyDescent="0.25">
      <c r="A262" s="128"/>
      <c r="B262" s="128"/>
      <c r="C262" s="128"/>
      <c r="D262" s="128"/>
      <c r="E262" s="128"/>
      <c r="F262" s="128"/>
      <c r="G262" s="128"/>
      <c r="H262" s="128"/>
      <c r="I262" s="128"/>
      <c r="J262" s="99" t="s">
        <v>142</v>
      </c>
      <c r="K262" s="42" t="s">
        <v>48</v>
      </c>
      <c r="L262" s="37">
        <v>4.5</v>
      </c>
      <c r="M262" s="37">
        <v>62</v>
      </c>
      <c r="N262" s="42"/>
      <c r="O262" s="42"/>
      <c r="P262" s="42"/>
      <c r="Q262" s="42"/>
      <c r="R262" s="37"/>
      <c r="S262" s="38">
        <v>700</v>
      </c>
      <c r="T262" s="43" t="s">
        <v>46</v>
      </c>
      <c r="U262" s="39">
        <v>763.98</v>
      </c>
      <c r="V262" s="25">
        <f t="shared" si="51"/>
        <v>63.980000000000018</v>
      </c>
      <c r="W262" s="137">
        <v>0</v>
      </c>
      <c r="X262" s="137">
        <v>0</v>
      </c>
      <c r="Y262" s="124"/>
      <c r="Z262" s="124"/>
      <c r="AA262" s="124"/>
      <c r="AB262" s="124">
        <v>6.99</v>
      </c>
      <c r="AC262" s="130">
        <f t="shared" si="52"/>
        <v>6.99</v>
      </c>
      <c r="AD262" s="45">
        <v>7</v>
      </c>
      <c r="AE262" s="46">
        <v>1000</v>
      </c>
      <c r="AF262" s="47">
        <v>62</v>
      </c>
      <c r="AG262" s="167">
        <f t="shared" si="40"/>
        <v>39.610932000000012</v>
      </c>
      <c r="AH262" s="168" t="str">
        <f t="shared" si="41"/>
        <v/>
      </c>
      <c r="AI262" s="168">
        <f t="shared" si="42"/>
        <v>638.88600000000019</v>
      </c>
      <c r="AJ262" s="167" t="str">
        <f t="shared" si="43"/>
        <v/>
      </c>
      <c r="AK262" s="167">
        <f t="shared" si="44"/>
        <v>2544360</v>
      </c>
      <c r="AL262" s="167">
        <f t="shared" si="45"/>
        <v>232554.50400000007</v>
      </c>
      <c r="AM262" s="167" t="str">
        <f t="shared" si="46"/>
        <v/>
      </c>
    </row>
    <row r="263" spans="1:39" x14ac:dyDescent="0.25">
      <c r="A263" s="128" t="s">
        <v>541</v>
      </c>
      <c r="B263" s="128" t="s">
        <v>42</v>
      </c>
      <c r="C263" s="128" t="s">
        <v>542</v>
      </c>
      <c r="D263" s="128"/>
      <c r="E263" s="128">
        <v>1</v>
      </c>
      <c r="F263" s="128"/>
      <c r="G263" s="128"/>
      <c r="H263" s="128"/>
      <c r="I263" s="128"/>
      <c r="J263" s="99" t="s">
        <v>142</v>
      </c>
      <c r="K263" s="42" t="s">
        <v>48</v>
      </c>
      <c r="L263" s="37">
        <v>4.5</v>
      </c>
      <c r="M263" s="37">
        <v>37</v>
      </c>
      <c r="N263" s="42"/>
      <c r="O263" s="42"/>
      <c r="P263" s="42"/>
      <c r="Q263" s="42"/>
      <c r="R263" s="37"/>
      <c r="S263" s="38">
        <v>700</v>
      </c>
      <c r="T263" s="43" t="s">
        <v>46</v>
      </c>
      <c r="U263" s="39">
        <v>714.59</v>
      </c>
      <c r="V263" s="25">
        <f t="shared" si="51"/>
        <v>14.590000000000032</v>
      </c>
      <c r="W263" s="137">
        <v>0</v>
      </c>
      <c r="X263" s="137">
        <v>0</v>
      </c>
      <c r="Y263" s="124"/>
      <c r="Z263" s="124"/>
      <c r="AA263" s="124"/>
      <c r="AB263" s="124">
        <v>6.79</v>
      </c>
      <c r="AC263" s="130">
        <f t="shared" si="52"/>
        <v>6.79</v>
      </c>
      <c r="AD263" s="45">
        <v>7</v>
      </c>
      <c r="AE263" s="46">
        <v>1000</v>
      </c>
      <c r="AF263" s="47">
        <v>37</v>
      </c>
      <c r="AG263" s="167">
        <f t="shared" si="40"/>
        <v>5.2363510000000115</v>
      </c>
      <c r="AH263" s="168" t="str">
        <f t="shared" si="41"/>
        <v/>
      </c>
      <c r="AI263" s="168">
        <f t="shared" si="42"/>
        <v>141.52300000000031</v>
      </c>
      <c r="AJ263" s="167" t="str">
        <f t="shared" si="43"/>
        <v/>
      </c>
      <c r="AK263" s="167">
        <f t="shared" si="44"/>
        <v>2471560</v>
      </c>
      <c r="AL263" s="167">
        <f t="shared" si="45"/>
        <v>51514.372000000112</v>
      </c>
      <c r="AM263" s="167" t="str">
        <f t="shared" si="46"/>
        <v/>
      </c>
    </row>
    <row r="264" spans="1:39" x14ac:dyDescent="0.25">
      <c r="A264" s="128"/>
      <c r="B264" s="128"/>
      <c r="C264" s="128"/>
      <c r="D264" s="128"/>
      <c r="E264" s="128">
        <v>1</v>
      </c>
      <c r="F264" s="128"/>
      <c r="G264" s="128"/>
      <c r="H264" s="128"/>
      <c r="I264" s="128"/>
      <c r="J264" s="99" t="s">
        <v>141</v>
      </c>
      <c r="K264" s="42" t="s">
        <v>204</v>
      </c>
      <c r="L264" s="37">
        <v>4.5</v>
      </c>
      <c r="M264" s="37">
        <v>51</v>
      </c>
      <c r="N264" s="42"/>
      <c r="O264" s="42"/>
      <c r="P264" s="42"/>
      <c r="Q264" s="42"/>
      <c r="R264" s="37"/>
      <c r="S264" s="38">
        <v>700</v>
      </c>
      <c r="T264" s="43" t="s">
        <v>46</v>
      </c>
      <c r="U264" s="39">
        <v>715.37</v>
      </c>
      <c r="V264" s="25">
        <f t="shared" si="51"/>
        <v>15.370000000000005</v>
      </c>
      <c r="W264" s="137">
        <v>0</v>
      </c>
      <c r="X264" s="137">
        <v>0</v>
      </c>
      <c r="Y264" s="124"/>
      <c r="Z264" s="124"/>
      <c r="AA264" s="124"/>
      <c r="AB264" s="124">
        <v>7.99</v>
      </c>
      <c r="AC264" s="130">
        <f t="shared" si="52"/>
        <v>7.99</v>
      </c>
      <c r="AD264" s="45">
        <v>7</v>
      </c>
      <c r="AE264" s="46">
        <v>1800</v>
      </c>
      <c r="AF264" s="47">
        <v>51</v>
      </c>
      <c r="AG264" s="167">
        <f t="shared" si="40"/>
        <v>8.9473161428571473</v>
      </c>
      <c r="AH264" s="168" t="str">
        <f t="shared" si="41"/>
        <v/>
      </c>
      <c r="AI264" s="168">
        <f t="shared" si="42"/>
        <v>315.78762857142868</v>
      </c>
      <c r="AJ264" s="167" t="str">
        <f t="shared" si="43"/>
        <v/>
      </c>
      <c r="AK264" s="167">
        <f t="shared" si="44"/>
        <v>5235048</v>
      </c>
      <c r="AL264" s="167">
        <f t="shared" si="45"/>
        <v>114946.69680000003</v>
      </c>
      <c r="AM264" s="167" t="str">
        <f t="shared" si="46"/>
        <v/>
      </c>
    </row>
    <row r="265" spans="1:39" x14ac:dyDescent="0.25">
      <c r="A265" s="128" t="s">
        <v>543</v>
      </c>
      <c r="B265" s="128" t="s">
        <v>544</v>
      </c>
      <c r="C265" s="128" t="s">
        <v>545</v>
      </c>
      <c r="D265" s="128"/>
      <c r="E265" s="128">
        <v>1</v>
      </c>
      <c r="F265" s="128"/>
      <c r="G265" s="128"/>
      <c r="H265" s="128"/>
      <c r="I265" s="128"/>
      <c r="J265" s="99" t="s">
        <v>142</v>
      </c>
      <c r="K265" s="42" t="s">
        <v>48</v>
      </c>
      <c r="L265" s="37">
        <v>4.5</v>
      </c>
      <c r="M265" s="37">
        <v>51</v>
      </c>
      <c r="N265" s="42"/>
      <c r="O265" s="42"/>
      <c r="P265" s="42"/>
      <c r="Q265" s="42"/>
      <c r="R265" s="37"/>
      <c r="S265" s="38">
        <v>700</v>
      </c>
      <c r="T265" s="43" t="s">
        <v>46</v>
      </c>
      <c r="U265" s="39">
        <v>623.59</v>
      </c>
      <c r="V265" s="25">
        <f t="shared" si="51"/>
        <v>-76.409999999999968</v>
      </c>
      <c r="W265" s="137">
        <v>0</v>
      </c>
      <c r="X265" s="137">
        <v>0</v>
      </c>
      <c r="Y265" s="124"/>
      <c r="Z265" s="124"/>
      <c r="AA265" s="124"/>
      <c r="AB265" s="124">
        <v>6.95</v>
      </c>
      <c r="AC265" s="130">
        <f t="shared" si="52"/>
        <v>6.95</v>
      </c>
      <c r="AD265" s="45">
        <v>7</v>
      </c>
      <c r="AE265" s="46">
        <v>500</v>
      </c>
      <c r="AF265" s="47">
        <v>51</v>
      </c>
      <c r="AG265" s="167" t="str">
        <f t="shared" ref="AG265:AG327" si="53">IF((-S265+U265)&lt;0,"",(AC265/S265)*V265*AF265)</f>
        <v/>
      </c>
      <c r="AH265" s="168">
        <f t="shared" ref="AH265:AH327" si="54">IF((-S265+U265)&gt;0,"",(AC265/S265)*V265*AF265)</f>
        <v>-38.690749285714276</v>
      </c>
      <c r="AI265" s="168" t="str">
        <f t="shared" ref="AI265:AI327" si="55">IF((-S265+U265)&lt;0,"",(AC265/S265)*V265*AE265)</f>
        <v/>
      </c>
      <c r="AJ265" s="167">
        <f t="shared" ref="AJ265:AJ327" si="56">IF((-S265+U265)&gt;0,"",(AC265/S265)*V265*AE265)</f>
        <v>-379.32107142857132</v>
      </c>
      <c r="AK265" s="167">
        <f t="shared" ref="AK265:AK327" si="57">AC265*AE265*AD265*52</f>
        <v>1264900</v>
      </c>
      <c r="AL265" s="167" t="str">
        <f t="shared" ref="AL265:AL327" si="58">IF((-S265+U265)&lt;0,"",AI265*AD265*52)</f>
        <v/>
      </c>
      <c r="AM265" s="167">
        <f t="shared" ref="AM265:AM327" si="59">IF((-S265+U265)&gt;0,"",-AJ265*AD265*52)</f>
        <v>138072.86999999994</v>
      </c>
    </row>
    <row r="266" spans="1:39" x14ac:dyDescent="0.25">
      <c r="A266" s="128" t="s">
        <v>546</v>
      </c>
      <c r="B266" s="128" t="s">
        <v>201</v>
      </c>
      <c r="C266" s="128" t="s">
        <v>547</v>
      </c>
      <c r="D266" s="128"/>
      <c r="E266" s="128">
        <v>1</v>
      </c>
      <c r="F266" s="128"/>
      <c r="G266" s="128"/>
      <c r="H266" s="128"/>
      <c r="I266" s="128"/>
      <c r="J266" s="99" t="s">
        <v>142</v>
      </c>
      <c r="K266" s="42" t="s">
        <v>48</v>
      </c>
      <c r="L266" s="37">
        <v>4.5</v>
      </c>
      <c r="M266" s="37">
        <v>80</v>
      </c>
      <c r="N266" s="42"/>
      <c r="O266" s="42"/>
      <c r="P266" s="42"/>
      <c r="Q266" s="42"/>
      <c r="R266" s="37"/>
      <c r="S266" s="38">
        <v>700</v>
      </c>
      <c r="T266" s="43" t="s">
        <v>46</v>
      </c>
      <c r="U266" s="39">
        <v>667.7</v>
      </c>
      <c r="V266" s="25">
        <f t="shared" si="51"/>
        <v>-32.299999999999955</v>
      </c>
      <c r="W266" s="137">
        <v>0</v>
      </c>
      <c r="X266" s="137">
        <v>0</v>
      </c>
      <c r="Y266" s="124"/>
      <c r="Z266" s="124"/>
      <c r="AA266" s="124"/>
      <c r="AB266" s="124">
        <v>6.9</v>
      </c>
      <c r="AC266" s="130">
        <f t="shared" si="52"/>
        <v>6.9</v>
      </c>
      <c r="AD266" s="45">
        <v>7</v>
      </c>
      <c r="AE266" s="46">
        <v>1200</v>
      </c>
      <c r="AF266" s="47">
        <v>400</v>
      </c>
      <c r="AG266" s="167" t="str">
        <f t="shared" si="53"/>
        <v/>
      </c>
      <c r="AH266" s="168">
        <f t="shared" si="54"/>
        <v>-127.35428571428555</v>
      </c>
      <c r="AI266" s="168" t="str">
        <f t="shared" si="55"/>
        <v/>
      </c>
      <c r="AJ266" s="167">
        <f t="shared" si="56"/>
        <v>-382.06285714285667</v>
      </c>
      <c r="AK266" s="167">
        <f t="shared" si="57"/>
        <v>3013920</v>
      </c>
      <c r="AL266" s="167" t="str">
        <f t="shared" si="58"/>
        <v/>
      </c>
      <c r="AM266" s="167">
        <f t="shared" si="59"/>
        <v>139070.87999999983</v>
      </c>
    </row>
    <row r="267" spans="1:39" x14ac:dyDescent="0.25">
      <c r="A267" s="128"/>
      <c r="B267" s="128"/>
      <c r="C267" s="128"/>
      <c r="D267" s="128"/>
      <c r="E267" s="128"/>
      <c r="F267" s="128"/>
      <c r="G267" s="128"/>
      <c r="H267" s="128"/>
      <c r="I267" s="128"/>
      <c r="J267" s="99" t="s">
        <v>141</v>
      </c>
      <c r="K267" s="42" t="s">
        <v>204</v>
      </c>
      <c r="L267" s="37">
        <v>4.5</v>
      </c>
      <c r="M267" s="37">
        <v>80</v>
      </c>
      <c r="N267" s="42"/>
      <c r="O267" s="42"/>
      <c r="P267" s="42"/>
      <c r="Q267" s="42"/>
      <c r="R267" s="37"/>
      <c r="S267" s="38">
        <v>700</v>
      </c>
      <c r="T267" s="43" t="s">
        <v>46</v>
      </c>
      <c r="U267" s="39">
        <v>650.9</v>
      </c>
      <c r="V267" s="25">
        <f t="shared" si="51"/>
        <v>-49.100000000000023</v>
      </c>
      <c r="W267" s="137">
        <v>0</v>
      </c>
      <c r="X267" s="137">
        <v>0</v>
      </c>
      <c r="Y267" s="124"/>
      <c r="Z267" s="124"/>
      <c r="AA267" s="124"/>
      <c r="AB267" s="124">
        <v>6.5</v>
      </c>
      <c r="AC267" s="130">
        <f t="shared" si="52"/>
        <v>6.5</v>
      </c>
      <c r="AD267" s="45">
        <v>7</v>
      </c>
      <c r="AE267" s="46">
        <v>1200</v>
      </c>
      <c r="AF267" s="47">
        <v>300</v>
      </c>
      <c r="AG267" s="167" t="str">
        <f t="shared" si="53"/>
        <v/>
      </c>
      <c r="AH267" s="168">
        <f t="shared" si="54"/>
        <v>-136.7785714285715</v>
      </c>
      <c r="AI267" s="168" t="str">
        <f t="shared" si="55"/>
        <v/>
      </c>
      <c r="AJ267" s="167">
        <f t="shared" si="56"/>
        <v>-547.11428571428598</v>
      </c>
      <c r="AK267" s="167">
        <f t="shared" si="57"/>
        <v>2839200</v>
      </c>
      <c r="AL267" s="167" t="str">
        <f t="shared" si="58"/>
        <v/>
      </c>
      <c r="AM267" s="167">
        <f t="shared" si="59"/>
        <v>199149.60000000009</v>
      </c>
    </row>
    <row r="268" spans="1:39" x14ac:dyDescent="0.25">
      <c r="A268" s="128" t="s">
        <v>548</v>
      </c>
      <c r="B268" s="128" t="s">
        <v>42</v>
      </c>
      <c r="C268" s="128" t="s">
        <v>549</v>
      </c>
      <c r="D268" s="128"/>
      <c r="E268" s="128">
        <v>1</v>
      </c>
      <c r="F268" s="128"/>
      <c r="G268" s="128"/>
      <c r="H268" s="128"/>
      <c r="I268" s="128"/>
      <c r="J268" s="99" t="s">
        <v>142</v>
      </c>
      <c r="K268" s="42" t="s">
        <v>48</v>
      </c>
      <c r="L268" s="37">
        <v>4.5</v>
      </c>
      <c r="M268" s="37">
        <v>50</v>
      </c>
      <c r="N268" s="42"/>
      <c r="O268" s="42"/>
      <c r="P268" s="42"/>
      <c r="Q268" s="42"/>
      <c r="R268" s="37"/>
      <c r="S268" s="38">
        <v>700</v>
      </c>
      <c r="T268" s="43" t="s">
        <v>46</v>
      </c>
      <c r="U268" s="39">
        <v>716.4</v>
      </c>
      <c r="V268" s="25">
        <f t="shared" si="51"/>
        <v>16.399999999999977</v>
      </c>
      <c r="W268" s="137">
        <v>0</v>
      </c>
      <c r="X268" s="137">
        <v>0</v>
      </c>
      <c r="Y268" s="124"/>
      <c r="Z268" s="124"/>
      <c r="AA268" s="124"/>
      <c r="AB268" s="124">
        <v>7.1</v>
      </c>
      <c r="AC268" s="130">
        <f t="shared" si="52"/>
        <v>7.1</v>
      </c>
      <c r="AD268" s="45">
        <v>7</v>
      </c>
      <c r="AE268" s="46">
        <v>1000</v>
      </c>
      <c r="AF268" s="47">
        <v>50</v>
      </c>
      <c r="AG268" s="167">
        <f t="shared" si="53"/>
        <v>8.3171428571428443</v>
      </c>
      <c r="AH268" s="168" t="str">
        <f t="shared" si="54"/>
        <v/>
      </c>
      <c r="AI268" s="168">
        <f t="shared" si="55"/>
        <v>166.3428571428569</v>
      </c>
      <c r="AJ268" s="167" t="str">
        <f t="shared" si="56"/>
        <v/>
      </c>
      <c r="AK268" s="167">
        <f t="shared" si="57"/>
        <v>2584400</v>
      </c>
      <c r="AL268" s="167">
        <f t="shared" si="58"/>
        <v>60548.799999999908</v>
      </c>
      <c r="AM268" s="167" t="str">
        <f t="shared" si="59"/>
        <v/>
      </c>
    </row>
    <row r="269" spans="1:39" x14ac:dyDescent="0.25">
      <c r="A269" s="128"/>
      <c r="B269" s="128"/>
      <c r="C269" s="128"/>
      <c r="D269" s="128"/>
      <c r="E269" s="128"/>
      <c r="F269" s="128"/>
      <c r="G269" s="128"/>
      <c r="H269" s="128"/>
      <c r="I269" s="128"/>
      <c r="J269" s="99" t="s">
        <v>141</v>
      </c>
      <c r="K269" s="42" t="s">
        <v>204</v>
      </c>
      <c r="L269" s="37">
        <v>4.5</v>
      </c>
      <c r="M269" s="37">
        <v>50</v>
      </c>
      <c r="N269" s="42"/>
      <c r="O269" s="42"/>
      <c r="P269" s="42"/>
      <c r="Q269" s="42"/>
      <c r="R269" s="37"/>
      <c r="S269" s="38">
        <v>700</v>
      </c>
      <c r="T269" s="43" t="s">
        <v>46</v>
      </c>
      <c r="U269" s="39">
        <v>703.6</v>
      </c>
      <c r="V269" s="25">
        <f t="shared" si="51"/>
        <v>3.6000000000000227</v>
      </c>
      <c r="W269" s="137">
        <v>0</v>
      </c>
      <c r="X269" s="137">
        <v>0</v>
      </c>
      <c r="Y269" s="124"/>
      <c r="Z269" s="124"/>
      <c r="AA269" s="124"/>
      <c r="AB269" s="124">
        <v>6.2</v>
      </c>
      <c r="AC269" s="130">
        <f t="shared" si="52"/>
        <v>6.2</v>
      </c>
      <c r="AD269" s="45">
        <v>7</v>
      </c>
      <c r="AE269" s="46">
        <v>1000</v>
      </c>
      <c r="AF269" s="47">
        <v>50</v>
      </c>
      <c r="AG269" s="167">
        <f t="shared" si="53"/>
        <v>1.5942857142857245</v>
      </c>
      <c r="AH269" s="168" t="str">
        <f t="shared" si="54"/>
        <v/>
      </c>
      <c r="AI269" s="168">
        <f t="shared" si="55"/>
        <v>31.885714285714489</v>
      </c>
      <c r="AJ269" s="167" t="str">
        <f t="shared" si="56"/>
        <v/>
      </c>
      <c r="AK269" s="167">
        <f t="shared" si="57"/>
        <v>2256800</v>
      </c>
      <c r="AL269" s="167">
        <f t="shared" si="58"/>
        <v>11606.400000000074</v>
      </c>
      <c r="AM269" s="167" t="str">
        <f t="shared" si="59"/>
        <v/>
      </c>
    </row>
    <row r="270" spans="1:39" hidden="1" x14ac:dyDescent="0.25">
      <c r="A270" s="128" t="s">
        <v>550</v>
      </c>
      <c r="B270" s="128" t="s">
        <v>201</v>
      </c>
      <c r="C270" s="128" t="s">
        <v>551</v>
      </c>
      <c r="D270" s="128"/>
      <c r="E270" s="128">
        <v>1</v>
      </c>
      <c r="F270" s="128"/>
      <c r="G270" s="128"/>
      <c r="H270" s="128"/>
      <c r="I270" s="128"/>
      <c r="J270" s="99" t="s">
        <v>193</v>
      </c>
      <c r="K270" s="42" t="s">
        <v>552</v>
      </c>
      <c r="L270" s="37">
        <v>4.5</v>
      </c>
      <c r="M270" s="37">
        <v>125</v>
      </c>
      <c r="N270" s="42"/>
      <c r="O270" s="42"/>
      <c r="P270" s="42"/>
      <c r="Q270" s="42"/>
      <c r="R270" s="37"/>
      <c r="S270" s="38">
        <v>2500</v>
      </c>
      <c r="T270" s="43" t="s">
        <v>46</v>
      </c>
      <c r="U270" s="39">
        <v>2540</v>
      </c>
      <c r="V270" s="129">
        <f t="shared" ref="V270:V282" si="60">-S270+U270</f>
        <v>40</v>
      </c>
      <c r="W270" s="137">
        <v>0</v>
      </c>
      <c r="X270" s="137">
        <v>0</v>
      </c>
      <c r="Y270" s="124"/>
      <c r="Z270" s="124"/>
      <c r="AA270" s="124"/>
      <c r="AB270" s="124">
        <v>13.75</v>
      </c>
      <c r="AC270" s="130">
        <f t="shared" si="52"/>
        <v>13.75</v>
      </c>
      <c r="AD270" s="45">
        <v>7</v>
      </c>
      <c r="AE270" s="46">
        <v>4000</v>
      </c>
      <c r="AF270" s="47">
        <v>15000</v>
      </c>
      <c r="AG270" s="167">
        <f t="shared" si="53"/>
        <v>3299.9999999999995</v>
      </c>
      <c r="AH270" s="168" t="str">
        <f t="shared" si="54"/>
        <v/>
      </c>
      <c r="AI270" s="168">
        <f t="shared" si="55"/>
        <v>879.99999999999989</v>
      </c>
      <c r="AJ270" s="167" t="str">
        <f t="shared" si="56"/>
        <v/>
      </c>
      <c r="AK270" s="167">
        <f t="shared" si="57"/>
        <v>20020000</v>
      </c>
      <c r="AL270" s="167">
        <f t="shared" si="58"/>
        <v>320319.99999999994</v>
      </c>
      <c r="AM270" s="167" t="str">
        <f t="shared" si="59"/>
        <v/>
      </c>
    </row>
    <row r="271" spans="1:39" hidden="1" x14ac:dyDescent="0.25">
      <c r="A271" s="128"/>
      <c r="B271" s="128"/>
      <c r="C271" s="128"/>
      <c r="D271" s="128"/>
      <c r="E271" s="128"/>
      <c r="F271" s="128"/>
      <c r="G271" s="128"/>
      <c r="H271" s="128"/>
      <c r="I271" s="128"/>
      <c r="J271" s="99" t="s">
        <v>193</v>
      </c>
      <c r="K271" s="42" t="s">
        <v>552</v>
      </c>
      <c r="L271" s="37">
        <v>4.5</v>
      </c>
      <c r="M271" s="37">
        <v>125</v>
      </c>
      <c r="N271" s="42"/>
      <c r="O271" s="42"/>
      <c r="P271" s="42"/>
      <c r="Q271" s="42"/>
      <c r="R271" s="37"/>
      <c r="S271" s="38">
        <v>5000</v>
      </c>
      <c r="T271" s="43" t="s">
        <v>46</v>
      </c>
      <c r="U271" s="39">
        <v>5003</v>
      </c>
      <c r="V271" s="129">
        <f t="shared" si="60"/>
        <v>3</v>
      </c>
      <c r="W271" s="137">
        <v>0</v>
      </c>
      <c r="X271" s="137">
        <v>0</v>
      </c>
      <c r="Y271" s="124"/>
      <c r="Z271" s="124"/>
      <c r="AA271" s="124"/>
      <c r="AB271" s="124">
        <v>27.25</v>
      </c>
      <c r="AC271" s="130">
        <f t="shared" si="52"/>
        <v>27.25</v>
      </c>
      <c r="AD271" s="45">
        <v>7</v>
      </c>
      <c r="AE271" s="46">
        <v>3500</v>
      </c>
      <c r="AF271" s="47">
        <v>8000</v>
      </c>
      <c r="AG271" s="167">
        <f t="shared" si="53"/>
        <v>130.80000000000001</v>
      </c>
      <c r="AH271" s="168" t="str">
        <f t="shared" si="54"/>
        <v/>
      </c>
      <c r="AI271" s="168">
        <f t="shared" si="55"/>
        <v>57.225000000000001</v>
      </c>
      <c r="AJ271" s="167" t="str">
        <f t="shared" si="56"/>
        <v/>
      </c>
      <c r="AK271" s="167">
        <f t="shared" si="57"/>
        <v>34716500</v>
      </c>
      <c r="AL271" s="167">
        <f t="shared" si="58"/>
        <v>20829.899999999998</v>
      </c>
      <c r="AM271" s="167" t="str">
        <f t="shared" si="59"/>
        <v/>
      </c>
    </row>
    <row r="272" spans="1:39" hidden="1" x14ac:dyDescent="0.25">
      <c r="A272" s="128" t="s">
        <v>553</v>
      </c>
      <c r="B272" s="128" t="s">
        <v>554</v>
      </c>
      <c r="C272" s="128" t="s">
        <v>555</v>
      </c>
      <c r="D272" s="128"/>
      <c r="E272" s="128">
        <v>1</v>
      </c>
      <c r="F272" s="128"/>
      <c r="G272" s="128"/>
      <c r="H272" s="128"/>
      <c r="I272" s="128"/>
      <c r="J272" s="99" t="s">
        <v>229</v>
      </c>
      <c r="K272" s="42" t="s">
        <v>556</v>
      </c>
      <c r="L272" s="37">
        <v>4.5</v>
      </c>
      <c r="M272" s="37">
        <v>19</v>
      </c>
      <c r="N272" s="42"/>
      <c r="O272" s="42"/>
      <c r="P272" s="42"/>
      <c r="Q272" s="42"/>
      <c r="R272" s="37"/>
      <c r="S272" s="38">
        <v>1000</v>
      </c>
      <c r="T272" s="43" t="s">
        <v>202</v>
      </c>
      <c r="U272" s="39">
        <v>1016</v>
      </c>
      <c r="V272" s="129">
        <f t="shared" si="60"/>
        <v>16</v>
      </c>
      <c r="W272" s="137">
        <v>0</v>
      </c>
      <c r="X272" s="137">
        <v>0</v>
      </c>
      <c r="Y272" s="124"/>
      <c r="Z272" s="124"/>
      <c r="AA272" s="124"/>
      <c r="AB272" s="124">
        <v>8.1999999999999993</v>
      </c>
      <c r="AC272" s="130">
        <f t="shared" si="52"/>
        <v>8.1999999999999993</v>
      </c>
      <c r="AD272" s="45">
        <v>7</v>
      </c>
      <c r="AE272" s="46">
        <v>100</v>
      </c>
      <c r="AF272" s="47">
        <v>19</v>
      </c>
      <c r="AG272" s="167">
        <f t="shared" si="53"/>
        <v>2.4927999999999999</v>
      </c>
      <c r="AH272" s="168" t="str">
        <f t="shared" si="54"/>
        <v/>
      </c>
      <c r="AI272" s="168">
        <f t="shared" si="55"/>
        <v>13.119999999999997</v>
      </c>
      <c r="AJ272" s="167" t="str">
        <f t="shared" si="56"/>
        <v/>
      </c>
      <c r="AK272" s="167">
        <f t="shared" si="57"/>
        <v>298479.99999999994</v>
      </c>
      <c r="AL272" s="167">
        <f t="shared" si="58"/>
        <v>4775.6799999999985</v>
      </c>
      <c r="AM272" s="167" t="str">
        <f t="shared" si="59"/>
        <v/>
      </c>
    </row>
    <row r="273" spans="1:39" hidden="1" x14ac:dyDescent="0.25">
      <c r="A273" s="128" t="s">
        <v>557</v>
      </c>
      <c r="B273" s="128" t="s">
        <v>201</v>
      </c>
      <c r="C273" s="128" t="s">
        <v>558</v>
      </c>
      <c r="D273" s="128"/>
      <c r="E273" s="128">
        <v>1</v>
      </c>
      <c r="F273" s="128"/>
      <c r="G273" s="128"/>
      <c r="H273" s="128"/>
      <c r="I273" s="128"/>
      <c r="J273" s="99" t="s">
        <v>193</v>
      </c>
      <c r="K273" s="42" t="s">
        <v>559</v>
      </c>
      <c r="L273" s="37">
        <v>4.5</v>
      </c>
      <c r="M273" s="37">
        <v>22</v>
      </c>
      <c r="N273" s="42"/>
      <c r="O273" s="42"/>
      <c r="P273" s="42"/>
      <c r="Q273" s="42"/>
      <c r="R273" s="37"/>
      <c r="S273" s="38">
        <v>5000</v>
      </c>
      <c r="T273" s="43" t="s">
        <v>46</v>
      </c>
      <c r="U273" s="39">
        <v>4998</v>
      </c>
      <c r="V273" s="129">
        <f t="shared" si="60"/>
        <v>-2</v>
      </c>
      <c r="W273" s="137">
        <v>0</v>
      </c>
      <c r="X273" s="137">
        <v>0</v>
      </c>
      <c r="Y273" s="124"/>
      <c r="Z273" s="124"/>
      <c r="AA273" s="124"/>
      <c r="AB273" s="124">
        <v>17.5</v>
      </c>
      <c r="AC273" s="130">
        <f t="shared" si="52"/>
        <v>17.5</v>
      </c>
      <c r="AD273" s="45">
        <v>6</v>
      </c>
      <c r="AE273" s="46">
        <v>100</v>
      </c>
      <c r="AF273" s="47">
        <v>22</v>
      </c>
      <c r="AG273" s="167" t="str">
        <f t="shared" si="53"/>
        <v/>
      </c>
      <c r="AH273" s="168">
        <f t="shared" si="54"/>
        <v>-0.154</v>
      </c>
      <c r="AI273" s="168" t="str">
        <f t="shared" si="55"/>
        <v/>
      </c>
      <c r="AJ273" s="167">
        <f t="shared" si="56"/>
        <v>-0.70000000000000007</v>
      </c>
      <c r="AK273" s="167">
        <f t="shared" si="57"/>
        <v>546000</v>
      </c>
      <c r="AL273" s="167" t="str">
        <f t="shared" si="58"/>
        <v/>
      </c>
      <c r="AM273" s="167">
        <f t="shared" si="59"/>
        <v>218.4</v>
      </c>
    </row>
    <row r="274" spans="1:39" hidden="1" x14ac:dyDescent="0.25">
      <c r="A274" s="128"/>
      <c r="B274" s="128"/>
      <c r="C274" s="128"/>
      <c r="D274" s="128"/>
      <c r="E274" s="128"/>
      <c r="F274" s="128"/>
      <c r="G274" s="128"/>
      <c r="H274" s="128"/>
      <c r="I274" s="128"/>
      <c r="J274" s="99" t="s">
        <v>193</v>
      </c>
      <c r="K274" s="42" t="s">
        <v>559</v>
      </c>
      <c r="L274" s="37">
        <v>4.5</v>
      </c>
      <c r="M274" s="37">
        <v>31</v>
      </c>
      <c r="N274" s="42"/>
      <c r="O274" s="42"/>
      <c r="P274" s="42"/>
      <c r="Q274" s="42"/>
      <c r="R274" s="37"/>
      <c r="S274" s="38">
        <v>10000</v>
      </c>
      <c r="T274" s="43" t="s">
        <v>46</v>
      </c>
      <c r="U274" s="39">
        <v>9964</v>
      </c>
      <c r="V274" s="129">
        <f t="shared" si="60"/>
        <v>-36</v>
      </c>
      <c r="W274" s="137">
        <v>0</v>
      </c>
      <c r="X274" s="137">
        <v>0</v>
      </c>
      <c r="Y274" s="124"/>
      <c r="Z274" s="124"/>
      <c r="AA274" s="124"/>
      <c r="AB274" s="124">
        <v>35</v>
      </c>
      <c r="AC274" s="130">
        <f t="shared" si="52"/>
        <v>35</v>
      </c>
      <c r="AD274" s="45">
        <v>6</v>
      </c>
      <c r="AE274" s="46">
        <v>100</v>
      </c>
      <c r="AF274" s="47">
        <v>31</v>
      </c>
      <c r="AG274" s="167" t="str">
        <f t="shared" si="53"/>
        <v/>
      </c>
      <c r="AH274" s="168">
        <f t="shared" si="54"/>
        <v>-3.9060000000000001</v>
      </c>
      <c r="AI274" s="168" t="str">
        <f t="shared" si="55"/>
        <v/>
      </c>
      <c r="AJ274" s="167">
        <f t="shared" si="56"/>
        <v>-12.6</v>
      </c>
      <c r="AK274" s="167">
        <f t="shared" si="57"/>
        <v>1092000</v>
      </c>
      <c r="AL274" s="167" t="str">
        <f t="shared" si="58"/>
        <v/>
      </c>
      <c r="AM274" s="167">
        <f t="shared" si="59"/>
        <v>3931.2</v>
      </c>
    </row>
    <row r="275" spans="1:39" hidden="1" x14ac:dyDescent="0.25">
      <c r="A275" s="128" t="s">
        <v>560</v>
      </c>
      <c r="B275" s="128" t="s">
        <v>201</v>
      </c>
      <c r="C275" s="128" t="s">
        <v>561</v>
      </c>
      <c r="D275" s="128"/>
      <c r="E275" s="128">
        <v>1</v>
      </c>
      <c r="F275" s="128"/>
      <c r="G275" s="128"/>
      <c r="H275" s="128"/>
      <c r="I275" s="128"/>
      <c r="J275" s="99" t="s">
        <v>193</v>
      </c>
      <c r="K275" s="42" t="s">
        <v>562</v>
      </c>
      <c r="L275" s="37">
        <v>4.5</v>
      </c>
      <c r="M275" s="37">
        <v>125</v>
      </c>
      <c r="N275" s="42"/>
      <c r="O275" s="42"/>
      <c r="P275" s="42"/>
      <c r="Q275" s="42"/>
      <c r="R275" s="37"/>
      <c r="S275" s="38">
        <v>5000</v>
      </c>
      <c r="T275" s="43" t="s">
        <v>46</v>
      </c>
      <c r="U275" s="39">
        <v>5055</v>
      </c>
      <c r="V275" s="129">
        <f t="shared" si="60"/>
        <v>55</v>
      </c>
      <c r="W275" s="137">
        <v>0</v>
      </c>
      <c r="X275" s="137">
        <v>0</v>
      </c>
      <c r="Y275" s="124"/>
      <c r="Z275" s="124"/>
      <c r="AA275" s="124"/>
      <c r="AB275" s="124">
        <v>26.5</v>
      </c>
      <c r="AC275" s="130">
        <f t="shared" si="52"/>
        <v>26.5</v>
      </c>
      <c r="AD275" s="45">
        <v>7</v>
      </c>
      <c r="AE275" s="46">
        <v>3000</v>
      </c>
      <c r="AF275" s="47">
        <v>10000</v>
      </c>
      <c r="AG275" s="167">
        <f t="shared" si="53"/>
        <v>2915</v>
      </c>
      <c r="AH275" s="168" t="str">
        <f t="shared" si="54"/>
        <v/>
      </c>
      <c r="AI275" s="168">
        <f t="shared" si="55"/>
        <v>874.5</v>
      </c>
      <c r="AJ275" s="167" t="str">
        <f t="shared" si="56"/>
        <v/>
      </c>
      <c r="AK275" s="167">
        <f t="shared" si="57"/>
        <v>28938000</v>
      </c>
      <c r="AL275" s="167">
        <f t="shared" si="58"/>
        <v>318318</v>
      </c>
      <c r="AM275" s="167" t="str">
        <f t="shared" si="59"/>
        <v/>
      </c>
    </row>
    <row r="276" spans="1:39" ht="24.75" hidden="1" x14ac:dyDescent="0.25">
      <c r="A276" s="128"/>
      <c r="B276" s="128"/>
      <c r="C276" s="128"/>
      <c r="D276" s="128"/>
      <c r="E276" s="128"/>
      <c r="F276" s="128"/>
      <c r="G276" s="128"/>
      <c r="H276" s="128"/>
      <c r="I276" s="128"/>
      <c r="J276" s="99" t="s">
        <v>193</v>
      </c>
      <c r="K276" s="42" t="s">
        <v>563</v>
      </c>
      <c r="L276" s="37">
        <v>4.5</v>
      </c>
      <c r="M276" s="37">
        <v>125</v>
      </c>
      <c r="N276" s="42"/>
      <c r="O276" s="42"/>
      <c r="P276" s="42"/>
      <c r="Q276" s="42"/>
      <c r="R276" s="37"/>
      <c r="S276" s="38">
        <v>5000</v>
      </c>
      <c r="T276" s="43" t="s">
        <v>46</v>
      </c>
      <c r="U276" s="39">
        <v>5002</v>
      </c>
      <c r="V276" s="129">
        <f t="shared" si="60"/>
        <v>2</v>
      </c>
      <c r="W276" s="137">
        <v>22</v>
      </c>
      <c r="X276" s="137">
        <v>0</v>
      </c>
      <c r="Y276" s="124"/>
      <c r="Z276" s="124"/>
      <c r="AA276" s="124"/>
      <c r="AB276" s="124">
        <v>26.5</v>
      </c>
      <c r="AC276" s="130">
        <f t="shared" si="52"/>
        <v>26.5</v>
      </c>
      <c r="AD276" s="45">
        <v>7</v>
      </c>
      <c r="AE276" s="46">
        <v>3000</v>
      </c>
      <c r="AF276" s="47">
        <v>8000</v>
      </c>
      <c r="AG276" s="167">
        <f t="shared" si="53"/>
        <v>84.8</v>
      </c>
      <c r="AH276" s="168" t="str">
        <f t="shared" si="54"/>
        <v/>
      </c>
      <c r="AI276" s="168">
        <f t="shared" si="55"/>
        <v>31.8</v>
      </c>
      <c r="AJ276" s="167" t="str">
        <f t="shared" si="56"/>
        <v/>
      </c>
      <c r="AK276" s="167">
        <f t="shared" si="57"/>
        <v>28938000</v>
      </c>
      <c r="AL276" s="167">
        <f t="shared" si="58"/>
        <v>11575.199999999999</v>
      </c>
      <c r="AM276" s="167" t="str">
        <f t="shared" si="59"/>
        <v/>
      </c>
    </row>
    <row r="277" spans="1:39" hidden="1" x14ac:dyDescent="0.25">
      <c r="A277" s="128"/>
      <c r="B277" s="128"/>
      <c r="C277" s="128"/>
      <c r="D277" s="128"/>
      <c r="E277" s="128"/>
      <c r="F277" s="128"/>
      <c r="G277" s="128"/>
      <c r="H277" s="128"/>
      <c r="I277" s="128"/>
      <c r="J277" s="99" t="s">
        <v>193</v>
      </c>
      <c r="K277" s="42" t="s">
        <v>562</v>
      </c>
      <c r="L277" s="37">
        <v>4.5</v>
      </c>
      <c r="M277" s="37">
        <v>50</v>
      </c>
      <c r="N277" s="42"/>
      <c r="O277" s="42"/>
      <c r="P277" s="42"/>
      <c r="Q277" s="42"/>
      <c r="R277" s="37"/>
      <c r="S277" s="38">
        <v>12500</v>
      </c>
      <c r="T277" s="43" t="s">
        <v>46</v>
      </c>
      <c r="U277" s="39">
        <v>12521</v>
      </c>
      <c r="V277" s="129">
        <f t="shared" si="60"/>
        <v>21</v>
      </c>
      <c r="W277" s="137">
        <v>0</v>
      </c>
      <c r="X277" s="137">
        <v>0</v>
      </c>
      <c r="Y277" s="124"/>
      <c r="Z277" s="124"/>
      <c r="AA277" s="124"/>
      <c r="AB277" s="124">
        <v>39.700000000000003</v>
      </c>
      <c r="AC277" s="130">
        <f t="shared" si="52"/>
        <v>39.700000000000003</v>
      </c>
      <c r="AD277" s="45">
        <v>7</v>
      </c>
      <c r="AE277" s="46">
        <v>2000</v>
      </c>
      <c r="AF277" s="47">
        <v>8000</v>
      </c>
      <c r="AG277" s="167">
        <f t="shared" si="53"/>
        <v>533.5680000000001</v>
      </c>
      <c r="AH277" s="168" t="str">
        <f t="shared" si="54"/>
        <v/>
      </c>
      <c r="AI277" s="168">
        <f t="shared" si="55"/>
        <v>133.39200000000002</v>
      </c>
      <c r="AJ277" s="167" t="str">
        <f t="shared" si="56"/>
        <v/>
      </c>
      <c r="AK277" s="167">
        <f t="shared" si="57"/>
        <v>28901600</v>
      </c>
      <c r="AL277" s="167">
        <f t="shared" si="58"/>
        <v>48554.688000000009</v>
      </c>
      <c r="AM277" s="167" t="str">
        <f t="shared" si="59"/>
        <v/>
      </c>
    </row>
    <row r="278" spans="1:39" ht="24.75" hidden="1" x14ac:dyDescent="0.25">
      <c r="A278" s="128" t="s">
        <v>564</v>
      </c>
      <c r="B278" s="128" t="s">
        <v>201</v>
      </c>
      <c r="C278" s="128" t="s">
        <v>565</v>
      </c>
      <c r="D278" s="128"/>
      <c r="E278" s="128">
        <v>1</v>
      </c>
      <c r="F278" s="128"/>
      <c r="G278" s="128"/>
      <c r="H278" s="128"/>
      <c r="I278" s="128"/>
      <c r="J278" s="99" t="s">
        <v>193</v>
      </c>
      <c r="K278" s="42" t="s">
        <v>566</v>
      </c>
      <c r="L278" s="37">
        <v>4.5</v>
      </c>
      <c r="M278" s="37">
        <v>23</v>
      </c>
      <c r="N278" s="37"/>
      <c r="O278" s="37"/>
      <c r="P278" s="37"/>
      <c r="Q278" s="42"/>
      <c r="R278" s="37"/>
      <c r="S278" s="38">
        <v>5000</v>
      </c>
      <c r="T278" s="43" t="s">
        <v>46</v>
      </c>
      <c r="U278" s="39">
        <v>5062</v>
      </c>
      <c r="V278" s="129">
        <f t="shared" si="60"/>
        <v>62</v>
      </c>
      <c r="W278" s="137">
        <v>0</v>
      </c>
      <c r="X278" s="137">
        <v>0</v>
      </c>
      <c r="Y278" s="124"/>
      <c r="Z278" s="124"/>
      <c r="AA278" s="124"/>
      <c r="AB278" s="124">
        <v>25.7</v>
      </c>
      <c r="AC278" s="130">
        <f t="shared" si="52"/>
        <v>25.7</v>
      </c>
      <c r="AD278" s="45">
        <v>6</v>
      </c>
      <c r="AE278" s="46">
        <v>200</v>
      </c>
      <c r="AF278" s="47">
        <v>23</v>
      </c>
      <c r="AG278" s="167">
        <f t="shared" si="53"/>
        <v>7.3296399999999995</v>
      </c>
      <c r="AH278" s="168" t="str">
        <f t="shared" si="54"/>
        <v/>
      </c>
      <c r="AI278" s="168">
        <f t="shared" si="55"/>
        <v>63.73599999999999</v>
      </c>
      <c r="AJ278" s="167" t="str">
        <f t="shared" si="56"/>
        <v/>
      </c>
      <c r="AK278" s="167">
        <f t="shared" si="57"/>
        <v>1603680</v>
      </c>
      <c r="AL278" s="167">
        <f t="shared" si="58"/>
        <v>19885.631999999998</v>
      </c>
      <c r="AM278" s="167" t="str">
        <f t="shared" si="59"/>
        <v/>
      </c>
    </row>
    <row r="279" spans="1:39" ht="24.75" hidden="1" x14ac:dyDescent="0.25">
      <c r="A279" s="128"/>
      <c r="B279" s="128"/>
      <c r="C279" s="128"/>
      <c r="D279" s="128"/>
      <c r="E279" s="128"/>
      <c r="F279" s="128"/>
      <c r="G279" s="128"/>
      <c r="H279" s="128"/>
      <c r="I279" s="128"/>
      <c r="J279" s="99" t="s">
        <v>193</v>
      </c>
      <c r="K279" s="42" t="s">
        <v>566</v>
      </c>
      <c r="L279" s="37">
        <v>4.5</v>
      </c>
      <c r="M279" s="37">
        <v>21</v>
      </c>
      <c r="N279" s="37"/>
      <c r="O279" s="37"/>
      <c r="P279" s="37"/>
      <c r="Q279" s="42"/>
      <c r="R279" s="37"/>
      <c r="S279" s="38">
        <v>12500</v>
      </c>
      <c r="T279" s="43" t="s">
        <v>46</v>
      </c>
      <c r="U279" s="39">
        <v>12553</v>
      </c>
      <c r="V279" s="129">
        <f t="shared" si="60"/>
        <v>53</v>
      </c>
      <c r="W279" s="137">
        <v>0</v>
      </c>
      <c r="X279" s="137">
        <v>0</v>
      </c>
      <c r="Y279" s="124"/>
      <c r="Z279" s="124"/>
      <c r="AA279" s="124"/>
      <c r="AB279" s="124">
        <v>39.4</v>
      </c>
      <c r="AC279" s="130">
        <f t="shared" si="52"/>
        <v>39.4</v>
      </c>
      <c r="AD279" s="45">
        <v>6</v>
      </c>
      <c r="AE279" s="46">
        <v>250</v>
      </c>
      <c r="AF279" s="47">
        <v>21</v>
      </c>
      <c r="AG279" s="167">
        <f t="shared" si="53"/>
        <v>3.5081759999999997</v>
      </c>
      <c r="AH279" s="168" t="str">
        <f t="shared" si="54"/>
        <v/>
      </c>
      <c r="AI279" s="168">
        <f t="shared" si="55"/>
        <v>41.763999999999996</v>
      </c>
      <c r="AJ279" s="167" t="str">
        <f t="shared" si="56"/>
        <v/>
      </c>
      <c r="AK279" s="167">
        <f t="shared" si="57"/>
        <v>3073200</v>
      </c>
      <c r="AL279" s="167">
        <f t="shared" si="58"/>
        <v>13030.367999999999</v>
      </c>
      <c r="AM279" s="167" t="str">
        <f t="shared" si="59"/>
        <v/>
      </c>
    </row>
    <row r="280" spans="1:39" x14ac:dyDescent="0.25">
      <c r="A280" s="128" t="s">
        <v>567</v>
      </c>
      <c r="B280" s="128" t="s">
        <v>42</v>
      </c>
      <c r="C280" s="128" t="s">
        <v>568</v>
      </c>
      <c r="D280" s="128"/>
      <c r="E280" s="128">
        <v>1</v>
      </c>
      <c r="F280" s="128"/>
      <c r="G280" s="128"/>
      <c r="H280" s="128"/>
      <c r="I280" s="128"/>
      <c r="J280" s="99" t="s">
        <v>142</v>
      </c>
      <c r="K280" s="42" t="s">
        <v>48</v>
      </c>
      <c r="L280" s="37">
        <v>4.5</v>
      </c>
      <c r="M280" s="37">
        <v>44</v>
      </c>
      <c r="N280" s="37"/>
      <c r="O280" s="37"/>
      <c r="P280" s="37"/>
      <c r="Q280" s="42"/>
      <c r="R280" s="37"/>
      <c r="S280" s="38">
        <v>700</v>
      </c>
      <c r="T280" s="43" t="s">
        <v>46</v>
      </c>
      <c r="U280" s="39">
        <v>709.45</v>
      </c>
      <c r="V280" s="25">
        <f t="shared" si="60"/>
        <v>9.4500000000000455</v>
      </c>
      <c r="W280" s="137">
        <v>0</v>
      </c>
      <c r="X280" s="137">
        <v>0</v>
      </c>
      <c r="Y280" s="124"/>
      <c r="Z280" s="124"/>
      <c r="AA280" s="124"/>
      <c r="AB280" s="124">
        <v>6.99</v>
      </c>
      <c r="AC280" s="130">
        <f t="shared" si="52"/>
        <v>6.99</v>
      </c>
      <c r="AD280" s="45">
        <v>7</v>
      </c>
      <c r="AE280" s="46">
        <v>1200</v>
      </c>
      <c r="AF280" s="47">
        <v>44</v>
      </c>
      <c r="AG280" s="167">
        <f t="shared" si="53"/>
        <v>4.1520600000000201</v>
      </c>
      <c r="AH280" s="168" t="str">
        <f t="shared" si="54"/>
        <v/>
      </c>
      <c r="AI280" s="168">
        <f t="shared" si="55"/>
        <v>113.23800000000054</v>
      </c>
      <c r="AJ280" s="167" t="str">
        <f t="shared" si="56"/>
        <v/>
      </c>
      <c r="AK280" s="167">
        <f t="shared" si="57"/>
        <v>3053232</v>
      </c>
      <c r="AL280" s="167">
        <f t="shared" si="58"/>
        <v>41218.632000000202</v>
      </c>
      <c r="AM280" s="167" t="str">
        <f t="shared" si="59"/>
        <v/>
      </c>
    </row>
    <row r="281" spans="1:39" x14ac:dyDescent="0.25">
      <c r="A281" s="128"/>
      <c r="B281" s="128"/>
      <c r="C281" s="128"/>
      <c r="D281" s="128"/>
      <c r="E281" s="128">
        <v>1</v>
      </c>
      <c r="F281" s="128"/>
      <c r="G281" s="128"/>
      <c r="H281" s="128"/>
      <c r="I281" s="128"/>
      <c r="J281" s="99" t="s">
        <v>141</v>
      </c>
      <c r="K281" s="42" t="s">
        <v>204</v>
      </c>
      <c r="L281" s="37">
        <v>4.5</v>
      </c>
      <c r="M281" s="37">
        <v>48</v>
      </c>
      <c r="N281" s="37"/>
      <c r="O281" s="37"/>
      <c r="P281" s="37"/>
      <c r="Q281" s="42"/>
      <c r="R281" s="37"/>
      <c r="S281" s="38">
        <v>700</v>
      </c>
      <c r="T281" s="43" t="s">
        <v>46</v>
      </c>
      <c r="U281" s="39">
        <v>724.83</v>
      </c>
      <c r="V281" s="25">
        <f t="shared" si="60"/>
        <v>24.830000000000041</v>
      </c>
      <c r="W281" s="137">
        <v>0</v>
      </c>
      <c r="X281" s="137">
        <v>0</v>
      </c>
      <c r="Y281" s="124"/>
      <c r="Z281" s="124"/>
      <c r="AA281" s="124"/>
      <c r="AB281" s="124">
        <v>5.99</v>
      </c>
      <c r="AC281" s="130">
        <f t="shared" si="52"/>
        <v>5.99</v>
      </c>
      <c r="AD281" s="45">
        <v>7</v>
      </c>
      <c r="AE281" s="46">
        <v>1200</v>
      </c>
      <c r="AF281" s="47">
        <v>48</v>
      </c>
      <c r="AG281" s="167">
        <f t="shared" si="53"/>
        <v>10.19874514285716</v>
      </c>
      <c r="AH281" s="168" t="str">
        <f t="shared" si="54"/>
        <v/>
      </c>
      <c r="AI281" s="168">
        <f t="shared" si="55"/>
        <v>254.96862857142898</v>
      </c>
      <c r="AJ281" s="167" t="str">
        <f t="shared" si="56"/>
        <v/>
      </c>
      <c r="AK281" s="167">
        <f t="shared" si="57"/>
        <v>2616432</v>
      </c>
      <c r="AL281" s="167">
        <f t="shared" si="58"/>
        <v>92808.580800000142</v>
      </c>
      <c r="AM281" s="167" t="str">
        <f t="shared" si="59"/>
        <v/>
      </c>
    </row>
    <row r="282" spans="1:39" x14ac:dyDescent="0.25">
      <c r="A282" s="128" t="s">
        <v>569</v>
      </c>
      <c r="B282" s="128" t="s">
        <v>42</v>
      </c>
      <c r="C282" s="128" t="s">
        <v>570</v>
      </c>
      <c r="D282" s="128"/>
      <c r="E282" s="128">
        <v>1</v>
      </c>
      <c r="F282" s="128"/>
      <c r="G282" s="128"/>
      <c r="H282" s="128"/>
      <c r="I282" s="128"/>
      <c r="J282" s="99" t="s">
        <v>142</v>
      </c>
      <c r="K282" s="42" t="s">
        <v>48</v>
      </c>
      <c r="L282" s="37">
        <v>4.5</v>
      </c>
      <c r="M282" s="37">
        <v>20</v>
      </c>
      <c r="N282" s="37"/>
      <c r="O282" s="37"/>
      <c r="P282" s="37"/>
      <c r="Q282" s="42"/>
      <c r="R282" s="37"/>
      <c r="S282" s="38">
        <v>700</v>
      </c>
      <c r="T282" s="43" t="s">
        <v>46</v>
      </c>
      <c r="U282" s="39">
        <v>685.4</v>
      </c>
      <c r="V282" s="25">
        <f t="shared" si="60"/>
        <v>-14.600000000000023</v>
      </c>
      <c r="W282" s="137">
        <v>0</v>
      </c>
      <c r="X282" s="137">
        <v>0</v>
      </c>
      <c r="Y282" s="124"/>
      <c r="Z282" s="124"/>
      <c r="AA282" s="124"/>
      <c r="AB282" s="124">
        <v>7.99</v>
      </c>
      <c r="AC282" s="130">
        <f t="shared" si="52"/>
        <v>7.99</v>
      </c>
      <c r="AD282" s="45">
        <v>7</v>
      </c>
      <c r="AE282" s="46">
        <v>1000</v>
      </c>
      <c r="AF282" s="47">
        <v>20</v>
      </c>
      <c r="AG282" s="167" t="str">
        <f t="shared" si="53"/>
        <v/>
      </c>
      <c r="AH282" s="168">
        <f t="shared" si="54"/>
        <v>-3.332971428571434</v>
      </c>
      <c r="AI282" s="168" t="str">
        <f t="shared" si="55"/>
        <v/>
      </c>
      <c r="AJ282" s="167">
        <f t="shared" si="56"/>
        <v>-166.6485714285717</v>
      </c>
      <c r="AK282" s="167">
        <f t="shared" si="57"/>
        <v>2908360</v>
      </c>
      <c r="AL282" s="167" t="str">
        <f t="shared" si="58"/>
        <v/>
      </c>
      <c r="AM282" s="167">
        <f t="shared" si="59"/>
        <v>60660.080000000089</v>
      </c>
    </row>
    <row r="283" spans="1:39" ht="26.25" hidden="1" x14ac:dyDescent="0.25">
      <c r="A283" s="124" t="s">
        <v>571</v>
      </c>
      <c r="B283" s="124" t="s">
        <v>42</v>
      </c>
      <c r="C283" s="124" t="s">
        <v>572</v>
      </c>
      <c r="D283" s="124"/>
      <c r="E283" s="124">
        <v>1</v>
      </c>
      <c r="F283" s="124"/>
      <c r="G283" s="124">
        <v>1</v>
      </c>
      <c r="H283" s="124">
        <v>1</v>
      </c>
      <c r="I283" s="124"/>
      <c r="J283" s="99" t="s">
        <v>170</v>
      </c>
      <c r="K283" s="37" t="s">
        <v>573</v>
      </c>
      <c r="L283" s="37">
        <v>4.3</v>
      </c>
      <c r="M283" s="37">
        <v>7</v>
      </c>
      <c r="N283" s="37"/>
      <c r="O283" s="37"/>
      <c r="P283" s="37"/>
      <c r="Q283" s="37"/>
      <c r="R283" s="37">
        <v>7</v>
      </c>
      <c r="S283" s="38">
        <v>2244</v>
      </c>
      <c r="T283" s="38" t="s">
        <v>46</v>
      </c>
      <c r="U283" s="39">
        <v>2175</v>
      </c>
      <c r="V283" s="125">
        <f t="shared" ref="V283:V287" si="61">-S283+U283</f>
        <v>-69</v>
      </c>
      <c r="W283" s="79"/>
      <c r="X283" s="40"/>
      <c r="Y283" s="124" t="s">
        <v>247</v>
      </c>
      <c r="Z283" s="124">
        <v>1</v>
      </c>
      <c r="AA283" s="138">
        <v>74.989999999999995</v>
      </c>
      <c r="AB283" s="124"/>
      <c r="AC283" s="130">
        <f>IF(AA283&gt;0,AA283/1000*S283/R283,AB283)</f>
        <v>24.039651428571428</v>
      </c>
      <c r="AD283" s="40">
        <v>7</v>
      </c>
      <c r="AE283" s="41">
        <v>15</v>
      </c>
      <c r="AF283" s="80">
        <v>7</v>
      </c>
      <c r="AG283" s="167" t="str">
        <f t="shared" si="53"/>
        <v/>
      </c>
      <c r="AH283" s="168">
        <f t="shared" si="54"/>
        <v>-5.1743100000000002</v>
      </c>
      <c r="AI283" s="168" t="str">
        <f t="shared" si="55"/>
        <v/>
      </c>
      <c r="AJ283" s="167">
        <f t="shared" si="56"/>
        <v>-11.087807142857143</v>
      </c>
      <c r="AK283" s="167">
        <f t="shared" si="57"/>
        <v>131256.49680000002</v>
      </c>
      <c r="AL283" s="167" t="str">
        <f t="shared" si="58"/>
        <v/>
      </c>
      <c r="AM283" s="167">
        <f t="shared" si="59"/>
        <v>4035.9618</v>
      </c>
    </row>
    <row r="284" spans="1:39" hidden="1" x14ac:dyDescent="0.25">
      <c r="A284" s="128"/>
      <c r="B284" s="128"/>
      <c r="C284" s="128"/>
      <c r="D284" s="128"/>
      <c r="E284" s="128">
        <v>1</v>
      </c>
      <c r="F284" s="128"/>
      <c r="G284" s="128">
        <v>1</v>
      </c>
      <c r="H284" s="124">
        <v>1</v>
      </c>
      <c r="I284" s="124"/>
      <c r="J284" s="99" t="s">
        <v>170</v>
      </c>
      <c r="K284" s="37" t="s">
        <v>574</v>
      </c>
      <c r="L284" s="37">
        <v>4.3</v>
      </c>
      <c r="M284" s="37">
        <v>10</v>
      </c>
      <c r="N284" s="42"/>
      <c r="O284" s="42"/>
      <c r="P284" s="42"/>
      <c r="Q284" s="42"/>
      <c r="R284" s="37">
        <v>10</v>
      </c>
      <c r="S284" s="38">
        <v>7274</v>
      </c>
      <c r="T284" s="43" t="s">
        <v>46</v>
      </c>
      <c r="U284" s="39">
        <v>7136.8</v>
      </c>
      <c r="V284" s="129">
        <f t="shared" si="61"/>
        <v>-137.19999999999982</v>
      </c>
      <c r="W284" s="44"/>
      <c r="X284" s="45"/>
      <c r="Y284" s="124" t="s">
        <v>247</v>
      </c>
      <c r="Z284" s="124">
        <v>1</v>
      </c>
      <c r="AA284" s="138">
        <v>49.99</v>
      </c>
      <c r="AB284" s="124"/>
      <c r="AC284" s="130">
        <f t="shared" ref="AC284:AC287" si="62">IF(AA284&gt;0,AA284/1000*S284/R284,AB284)</f>
        <v>36.362725999999995</v>
      </c>
      <c r="AD284" s="45">
        <v>7</v>
      </c>
      <c r="AE284" s="46">
        <v>20</v>
      </c>
      <c r="AF284" s="47">
        <v>10</v>
      </c>
      <c r="AG284" s="167" t="str">
        <f t="shared" si="53"/>
        <v/>
      </c>
      <c r="AH284" s="168">
        <f t="shared" si="54"/>
        <v>-6.8586279999999897</v>
      </c>
      <c r="AI284" s="168" t="str">
        <f t="shared" si="55"/>
        <v/>
      </c>
      <c r="AJ284" s="167">
        <f t="shared" si="56"/>
        <v>-13.717255999999979</v>
      </c>
      <c r="AK284" s="167">
        <f t="shared" si="57"/>
        <v>264720.64527999994</v>
      </c>
      <c r="AL284" s="167" t="str">
        <f t="shared" si="58"/>
        <v/>
      </c>
      <c r="AM284" s="167">
        <f t="shared" si="59"/>
        <v>4993.0811839999924</v>
      </c>
    </row>
    <row r="285" spans="1:39" hidden="1" x14ac:dyDescent="0.25">
      <c r="A285" s="128"/>
      <c r="B285" s="128"/>
      <c r="C285" s="128"/>
      <c r="D285" s="128"/>
      <c r="E285" s="128">
        <v>1</v>
      </c>
      <c r="F285" s="128"/>
      <c r="G285" s="128">
        <v>1</v>
      </c>
      <c r="H285" s="128">
        <v>1</v>
      </c>
      <c r="I285" s="128"/>
      <c r="J285" s="99" t="s">
        <v>166</v>
      </c>
      <c r="K285" s="42" t="s">
        <v>575</v>
      </c>
      <c r="L285" s="37">
        <v>4.3</v>
      </c>
      <c r="M285" s="37">
        <v>5</v>
      </c>
      <c r="N285" s="42"/>
      <c r="O285" s="42"/>
      <c r="P285" s="42"/>
      <c r="Q285" s="42"/>
      <c r="R285" s="37">
        <v>5</v>
      </c>
      <c r="S285" s="38">
        <v>2252</v>
      </c>
      <c r="T285" s="43" t="s">
        <v>46</v>
      </c>
      <c r="U285" s="39">
        <v>2204.6999999999998</v>
      </c>
      <c r="V285" s="129">
        <f t="shared" si="61"/>
        <v>-47.300000000000182</v>
      </c>
      <c r="W285" s="44"/>
      <c r="X285" s="45"/>
      <c r="Y285" s="124" t="s">
        <v>247</v>
      </c>
      <c r="Z285" s="124">
        <v>1</v>
      </c>
      <c r="AA285" s="138">
        <v>89.99</v>
      </c>
      <c r="AB285" s="124"/>
      <c r="AC285" s="130">
        <f t="shared" si="62"/>
        <v>40.531495999999997</v>
      </c>
      <c r="AD285" s="45">
        <v>7</v>
      </c>
      <c r="AE285" s="46">
        <v>60</v>
      </c>
      <c r="AF285" s="47">
        <v>5</v>
      </c>
      <c r="AG285" s="167" t="str">
        <f t="shared" si="53"/>
        <v/>
      </c>
      <c r="AH285" s="168">
        <f t="shared" si="54"/>
        <v>-4.2565270000000162</v>
      </c>
      <c r="AI285" s="168" t="str">
        <f t="shared" si="55"/>
        <v/>
      </c>
      <c r="AJ285" s="167">
        <f t="shared" si="56"/>
        <v>-51.078324000000201</v>
      </c>
      <c r="AK285" s="167">
        <f t="shared" si="57"/>
        <v>885207.87264000007</v>
      </c>
      <c r="AL285" s="167" t="str">
        <f t="shared" si="58"/>
        <v/>
      </c>
      <c r="AM285" s="167">
        <f t="shared" si="59"/>
        <v>18592.509936000075</v>
      </c>
    </row>
    <row r="286" spans="1:39" x14ac:dyDescent="0.25">
      <c r="A286" s="128"/>
      <c r="B286" s="128"/>
      <c r="C286" s="128"/>
      <c r="D286" s="128"/>
      <c r="E286" s="128">
        <v>1</v>
      </c>
      <c r="F286" s="128"/>
      <c r="G286" s="128">
        <v>1</v>
      </c>
      <c r="H286" s="128">
        <v>1</v>
      </c>
      <c r="I286" s="128"/>
      <c r="J286" s="99" t="s">
        <v>142</v>
      </c>
      <c r="K286" s="42" t="s">
        <v>576</v>
      </c>
      <c r="L286" s="37">
        <v>4.5</v>
      </c>
      <c r="M286" s="37">
        <v>32</v>
      </c>
      <c r="N286" s="42"/>
      <c r="O286" s="42"/>
      <c r="P286" s="42"/>
      <c r="Q286" s="42"/>
      <c r="R286" s="37">
        <v>32</v>
      </c>
      <c r="S286" s="38">
        <v>600</v>
      </c>
      <c r="T286" s="43" t="s">
        <v>46</v>
      </c>
      <c r="U286" s="39">
        <v>591.221</v>
      </c>
      <c r="V286" s="25">
        <f t="shared" si="61"/>
        <v>-8.7789999999999964</v>
      </c>
      <c r="W286" s="44"/>
      <c r="X286" s="45"/>
      <c r="Y286" s="124" t="s">
        <v>247</v>
      </c>
      <c r="Z286" s="124">
        <v>0</v>
      </c>
      <c r="AA286" s="138"/>
      <c r="AB286" s="124">
        <v>6.99</v>
      </c>
      <c r="AC286" s="130">
        <f t="shared" si="62"/>
        <v>6.99</v>
      </c>
      <c r="AD286" s="45">
        <v>7</v>
      </c>
      <c r="AE286" s="46">
        <v>107</v>
      </c>
      <c r="AF286" s="47">
        <v>32</v>
      </c>
      <c r="AG286" s="167" t="str">
        <f t="shared" si="53"/>
        <v/>
      </c>
      <c r="AH286" s="168">
        <f t="shared" si="54"/>
        <v>-3.2728111999999987</v>
      </c>
      <c r="AI286" s="168" t="str">
        <f t="shared" si="55"/>
        <v/>
      </c>
      <c r="AJ286" s="167">
        <f t="shared" si="56"/>
        <v>-10.943462449999995</v>
      </c>
      <c r="AK286" s="167">
        <f t="shared" si="57"/>
        <v>272246.52</v>
      </c>
      <c r="AL286" s="167" t="str">
        <f t="shared" si="58"/>
        <v/>
      </c>
      <c r="AM286" s="167">
        <f t="shared" si="59"/>
        <v>3983.4203317999982</v>
      </c>
    </row>
    <row r="287" spans="1:39" x14ac:dyDescent="0.25">
      <c r="A287" s="128"/>
      <c r="B287" s="128"/>
      <c r="C287" s="128"/>
      <c r="D287" s="128"/>
      <c r="E287" s="128">
        <v>1</v>
      </c>
      <c r="F287" s="128"/>
      <c r="G287" s="128">
        <v>1</v>
      </c>
      <c r="H287" s="128">
        <v>1</v>
      </c>
      <c r="I287" s="128"/>
      <c r="J287" s="99" t="s">
        <v>141</v>
      </c>
      <c r="K287" s="42" t="s">
        <v>577</v>
      </c>
      <c r="L287" s="37">
        <v>4.5</v>
      </c>
      <c r="M287" s="37">
        <v>25</v>
      </c>
      <c r="N287" s="42"/>
      <c r="O287" s="42"/>
      <c r="P287" s="42"/>
      <c r="Q287" s="42"/>
      <c r="R287" s="37">
        <v>25</v>
      </c>
      <c r="S287" s="38">
        <v>600</v>
      </c>
      <c r="T287" s="43" t="s">
        <v>46</v>
      </c>
      <c r="U287" s="39">
        <v>593.024</v>
      </c>
      <c r="V287" s="25">
        <f t="shared" si="61"/>
        <v>-6.9759999999999991</v>
      </c>
      <c r="W287" s="44"/>
      <c r="X287" s="45"/>
      <c r="Y287" s="124" t="s">
        <v>247</v>
      </c>
      <c r="Z287" s="124">
        <v>0</v>
      </c>
      <c r="AA287" s="138"/>
      <c r="AB287" s="124">
        <v>5.99</v>
      </c>
      <c r="AC287" s="130">
        <f t="shared" si="62"/>
        <v>5.99</v>
      </c>
      <c r="AD287" s="45">
        <v>7</v>
      </c>
      <c r="AE287" s="46">
        <v>107</v>
      </c>
      <c r="AF287" s="47">
        <v>25</v>
      </c>
      <c r="AG287" s="167" t="str">
        <f t="shared" si="53"/>
        <v/>
      </c>
      <c r="AH287" s="168">
        <f t="shared" si="54"/>
        <v>-1.7410933333333334</v>
      </c>
      <c r="AI287" s="168" t="str">
        <f t="shared" si="55"/>
        <v/>
      </c>
      <c r="AJ287" s="167">
        <f t="shared" si="56"/>
        <v>-7.451879466666667</v>
      </c>
      <c r="AK287" s="167">
        <f t="shared" si="57"/>
        <v>233298.52000000002</v>
      </c>
      <c r="AL287" s="167" t="str">
        <f t="shared" si="58"/>
        <v/>
      </c>
      <c r="AM287" s="167">
        <f t="shared" si="59"/>
        <v>2712.4841258666665</v>
      </c>
    </row>
    <row r="288" spans="1:39" hidden="1" x14ac:dyDescent="0.25">
      <c r="A288" s="128" t="s">
        <v>578</v>
      </c>
      <c r="B288" s="128" t="s">
        <v>201</v>
      </c>
      <c r="C288" s="128" t="s">
        <v>579</v>
      </c>
      <c r="D288" s="128"/>
      <c r="E288" s="128">
        <v>1</v>
      </c>
      <c r="F288" s="128"/>
      <c r="G288" s="128"/>
      <c r="H288" s="128"/>
      <c r="I288" s="128"/>
      <c r="J288" s="99" t="s">
        <v>96</v>
      </c>
      <c r="K288" s="42" t="s">
        <v>580</v>
      </c>
      <c r="L288" s="37">
        <v>4.3</v>
      </c>
      <c r="M288" s="37">
        <v>125</v>
      </c>
      <c r="N288" s="37"/>
      <c r="O288" s="37"/>
      <c r="P288" s="37"/>
      <c r="Q288" s="37">
        <v>1</v>
      </c>
      <c r="R288" s="37"/>
      <c r="S288" s="38">
        <v>500</v>
      </c>
      <c r="T288" s="38" t="s">
        <v>46</v>
      </c>
      <c r="U288" s="39">
        <v>519.9</v>
      </c>
      <c r="V288" s="125">
        <f t="shared" ref="V288:V351" si="63">-S288+U288</f>
        <v>19.899999999999977</v>
      </c>
      <c r="W288" s="79"/>
      <c r="X288" s="40"/>
      <c r="Y288" s="124" t="s">
        <v>247</v>
      </c>
      <c r="Z288" s="124"/>
      <c r="AA288" s="138"/>
      <c r="AB288" s="138">
        <v>39.9</v>
      </c>
      <c r="AC288" s="130">
        <f>IF(AA288&gt;0,AA288/1000*S288/R288,AB288)</f>
        <v>39.9</v>
      </c>
      <c r="AD288" s="40">
        <v>7</v>
      </c>
      <c r="AE288" s="41">
        <v>15</v>
      </c>
      <c r="AF288" s="80">
        <v>7</v>
      </c>
      <c r="AG288" s="167">
        <f t="shared" si="53"/>
        <v>11.116139999999987</v>
      </c>
      <c r="AH288" s="168" t="str">
        <f t="shared" si="54"/>
        <v/>
      </c>
      <c r="AI288" s="168">
        <f t="shared" si="55"/>
        <v>23.820299999999975</v>
      </c>
      <c r="AJ288" s="167" t="str">
        <f t="shared" si="56"/>
        <v/>
      </c>
      <c r="AK288" s="167">
        <f t="shared" si="57"/>
        <v>217854</v>
      </c>
      <c r="AL288" s="167">
        <f t="shared" si="58"/>
        <v>8670.5891999999913</v>
      </c>
      <c r="AM288" s="167" t="str">
        <f t="shared" si="59"/>
        <v/>
      </c>
    </row>
    <row r="289" spans="1:39" hidden="1" x14ac:dyDescent="0.25">
      <c r="A289" s="128"/>
      <c r="B289" s="128"/>
      <c r="C289" s="128"/>
      <c r="D289" s="128"/>
      <c r="E289" s="128">
        <v>1</v>
      </c>
      <c r="F289" s="128"/>
      <c r="G289" s="128"/>
      <c r="H289" s="128"/>
      <c r="I289" s="128"/>
      <c r="J289" s="99" t="s">
        <v>96</v>
      </c>
      <c r="K289" s="42" t="s">
        <v>580</v>
      </c>
      <c r="L289" s="37">
        <v>4.3</v>
      </c>
      <c r="M289" s="37">
        <v>125</v>
      </c>
      <c r="N289" s="42"/>
      <c r="O289" s="42"/>
      <c r="P289" s="42"/>
      <c r="Q289" s="42">
        <v>1</v>
      </c>
      <c r="R289" s="37"/>
      <c r="S289" s="38">
        <v>1000</v>
      </c>
      <c r="T289" s="43" t="s">
        <v>46</v>
      </c>
      <c r="U289" s="39">
        <v>1075.5</v>
      </c>
      <c r="V289" s="129">
        <f t="shared" si="63"/>
        <v>75.5</v>
      </c>
      <c r="W289" s="44"/>
      <c r="X289" s="45"/>
      <c r="Y289" s="124" t="s">
        <v>247</v>
      </c>
      <c r="Z289" s="124"/>
      <c r="AA289" s="138"/>
      <c r="AB289" s="138">
        <v>75.900000000000006</v>
      </c>
      <c r="AC289" s="130">
        <f t="shared" ref="AC289" si="64">IF(AA289&gt;0,AA289/1000*S289/R289,AB289)</f>
        <v>75.900000000000006</v>
      </c>
      <c r="AD289" s="45">
        <v>7</v>
      </c>
      <c r="AE289" s="46">
        <v>20</v>
      </c>
      <c r="AF289" s="47">
        <v>10</v>
      </c>
      <c r="AG289" s="167">
        <f t="shared" si="53"/>
        <v>57.304500000000004</v>
      </c>
      <c r="AH289" s="168" t="str">
        <f t="shared" si="54"/>
        <v/>
      </c>
      <c r="AI289" s="168">
        <f t="shared" si="55"/>
        <v>114.60900000000001</v>
      </c>
      <c r="AJ289" s="167" t="str">
        <f t="shared" si="56"/>
        <v/>
      </c>
      <c r="AK289" s="167">
        <f t="shared" si="57"/>
        <v>552552</v>
      </c>
      <c r="AL289" s="167">
        <f t="shared" si="58"/>
        <v>41717.675999999999</v>
      </c>
      <c r="AM289" s="167" t="str">
        <f t="shared" si="59"/>
        <v/>
      </c>
    </row>
    <row r="290" spans="1:39" hidden="1" x14ac:dyDescent="0.25">
      <c r="A290" s="124" t="s">
        <v>581</v>
      </c>
      <c r="B290" s="124" t="s">
        <v>42</v>
      </c>
      <c r="C290" s="124" t="s">
        <v>582</v>
      </c>
      <c r="D290" s="124"/>
      <c r="E290" s="124">
        <v>1</v>
      </c>
      <c r="F290" s="124"/>
      <c r="G290" s="124"/>
      <c r="H290" s="124"/>
      <c r="I290" s="124"/>
      <c r="J290" s="99" t="s">
        <v>166</v>
      </c>
      <c r="K290" s="37" t="s">
        <v>583</v>
      </c>
      <c r="L290" s="37">
        <v>4.3</v>
      </c>
      <c r="M290" s="37">
        <v>7</v>
      </c>
      <c r="N290" s="37"/>
      <c r="O290" s="37"/>
      <c r="P290" s="37"/>
      <c r="Q290" s="37"/>
      <c r="R290" s="37">
        <v>7</v>
      </c>
      <c r="S290" s="38">
        <v>2678</v>
      </c>
      <c r="T290" s="38" t="s">
        <v>46</v>
      </c>
      <c r="U290" s="39">
        <v>2688</v>
      </c>
      <c r="V290" s="125">
        <f t="shared" si="63"/>
        <v>10</v>
      </c>
      <c r="W290" s="79"/>
      <c r="X290" s="40"/>
      <c r="Y290" s="124" t="s">
        <v>247</v>
      </c>
      <c r="Z290" s="124"/>
      <c r="AA290" s="138">
        <v>64.989999999999995</v>
      </c>
      <c r="AB290" s="124"/>
      <c r="AC290" s="130">
        <f>IF(AA290&gt;0,AA290/1000*S290/R290,AB290)</f>
        <v>24.863317142857142</v>
      </c>
      <c r="AD290" s="40">
        <v>7</v>
      </c>
      <c r="AE290" s="41">
        <v>15</v>
      </c>
      <c r="AF290" s="80">
        <v>7</v>
      </c>
      <c r="AG290" s="167">
        <f t="shared" si="53"/>
        <v>0.64990000000000003</v>
      </c>
      <c r="AH290" s="168" t="str">
        <f t="shared" si="54"/>
        <v/>
      </c>
      <c r="AI290" s="168">
        <f t="shared" si="55"/>
        <v>1.3926428571428571</v>
      </c>
      <c r="AJ290" s="167" t="str">
        <f t="shared" si="56"/>
        <v/>
      </c>
      <c r="AK290" s="167">
        <f t="shared" si="57"/>
        <v>135753.71159999998</v>
      </c>
      <c r="AL290" s="167">
        <f t="shared" si="58"/>
        <v>506.92200000000003</v>
      </c>
      <c r="AM290" s="167" t="str">
        <f t="shared" si="59"/>
        <v/>
      </c>
    </row>
    <row r="291" spans="1:39" hidden="1" x14ac:dyDescent="0.25">
      <c r="A291" s="128"/>
      <c r="B291" s="128"/>
      <c r="C291" s="128"/>
      <c r="D291" s="128"/>
      <c r="E291" s="128">
        <v>1</v>
      </c>
      <c r="F291" s="128"/>
      <c r="G291" s="128"/>
      <c r="H291" s="124"/>
      <c r="I291" s="124"/>
      <c r="J291" s="99" t="s">
        <v>166</v>
      </c>
      <c r="K291" s="37" t="s">
        <v>206</v>
      </c>
      <c r="L291" s="37">
        <v>4.3</v>
      </c>
      <c r="M291" s="37">
        <v>10</v>
      </c>
      <c r="N291" s="42"/>
      <c r="O291" s="42"/>
      <c r="P291" s="42"/>
      <c r="Q291" s="42"/>
      <c r="R291" s="37">
        <v>10</v>
      </c>
      <c r="S291" s="38">
        <v>11164</v>
      </c>
      <c r="T291" s="43" t="s">
        <v>46</v>
      </c>
      <c r="U291" s="39">
        <v>11164</v>
      </c>
      <c r="V291" s="129">
        <f t="shared" si="63"/>
        <v>0</v>
      </c>
      <c r="W291" s="44"/>
      <c r="X291" s="45"/>
      <c r="Y291" s="124" t="s">
        <v>247</v>
      </c>
      <c r="Z291" s="124"/>
      <c r="AA291" s="138">
        <v>59.99</v>
      </c>
      <c r="AB291" s="124"/>
      <c r="AC291" s="130">
        <f t="shared" ref="AC291:AC339" si="65">IF(AA291&gt;0,AA291/1000*S291/R291,AB291)</f>
        <v>66.972836000000001</v>
      </c>
      <c r="AD291" s="45">
        <v>7</v>
      </c>
      <c r="AE291" s="46">
        <v>20</v>
      </c>
      <c r="AF291" s="47">
        <v>10</v>
      </c>
      <c r="AG291" s="167">
        <f t="shared" si="53"/>
        <v>0</v>
      </c>
      <c r="AH291" s="168">
        <f t="shared" si="54"/>
        <v>0</v>
      </c>
      <c r="AI291" s="168">
        <f t="shared" si="55"/>
        <v>0</v>
      </c>
      <c r="AJ291" s="167">
        <f t="shared" si="56"/>
        <v>0</v>
      </c>
      <c r="AK291" s="167">
        <f t="shared" si="57"/>
        <v>487562.24608000007</v>
      </c>
      <c r="AL291" s="167">
        <f t="shared" si="58"/>
        <v>0</v>
      </c>
      <c r="AM291" s="167">
        <f t="shared" si="59"/>
        <v>0</v>
      </c>
    </row>
    <row r="292" spans="1:39" hidden="1" x14ac:dyDescent="0.25">
      <c r="A292" s="128"/>
      <c r="B292" s="128"/>
      <c r="C292" s="128"/>
      <c r="D292" s="128"/>
      <c r="E292" s="128">
        <v>1</v>
      </c>
      <c r="F292" s="128"/>
      <c r="G292" s="128"/>
      <c r="H292" s="128"/>
      <c r="I292" s="128"/>
      <c r="J292" s="99" t="s">
        <v>168</v>
      </c>
      <c r="K292" s="42" t="s">
        <v>584</v>
      </c>
      <c r="L292" s="37">
        <v>4.3</v>
      </c>
      <c r="M292" s="37">
        <v>7</v>
      </c>
      <c r="N292" s="42"/>
      <c r="O292" s="42"/>
      <c r="P292" s="42"/>
      <c r="Q292" s="42"/>
      <c r="R292" s="37">
        <v>7</v>
      </c>
      <c r="S292" s="38">
        <v>3222</v>
      </c>
      <c r="T292" s="43" t="s">
        <v>46</v>
      </c>
      <c r="U292" s="39">
        <v>3234</v>
      </c>
      <c r="V292" s="129">
        <f t="shared" si="63"/>
        <v>12</v>
      </c>
      <c r="W292" s="44"/>
      <c r="X292" s="45"/>
      <c r="Y292" s="124" t="s">
        <v>247</v>
      </c>
      <c r="Z292" s="124"/>
      <c r="AA292" s="138">
        <v>89.99</v>
      </c>
      <c r="AB292" s="124"/>
      <c r="AC292" s="130">
        <f t="shared" si="65"/>
        <v>41.421111428571429</v>
      </c>
      <c r="AD292" s="45">
        <v>7</v>
      </c>
      <c r="AE292" s="46">
        <v>60</v>
      </c>
      <c r="AF292" s="47">
        <v>7</v>
      </c>
      <c r="AG292" s="167">
        <f t="shared" si="53"/>
        <v>1.07988</v>
      </c>
      <c r="AH292" s="168" t="str">
        <f t="shared" si="54"/>
        <v/>
      </c>
      <c r="AI292" s="168">
        <f t="shared" si="55"/>
        <v>9.2561142857142862</v>
      </c>
      <c r="AJ292" s="167" t="str">
        <f t="shared" si="56"/>
        <v/>
      </c>
      <c r="AK292" s="167">
        <f t="shared" si="57"/>
        <v>904637.0736</v>
      </c>
      <c r="AL292" s="167">
        <f t="shared" si="58"/>
        <v>3369.2255999999998</v>
      </c>
      <c r="AM292" s="167" t="str">
        <f t="shared" si="59"/>
        <v/>
      </c>
    </row>
    <row r="293" spans="1:39" x14ac:dyDescent="0.25">
      <c r="A293" s="128"/>
      <c r="B293" s="128"/>
      <c r="C293" s="128"/>
      <c r="D293" s="128"/>
      <c r="E293" s="128">
        <v>1</v>
      </c>
      <c r="F293" s="128"/>
      <c r="G293" s="128">
        <v>1</v>
      </c>
      <c r="H293" s="128">
        <v>1</v>
      </c>
      <c r="I293" s="128"/>
      <c r="J293" s="99" t="s">
        <v>142</v>
      </c>
      <c r="K293" s="42" t="s">
        <v>576</v>
      </c>
      <c r="L293" s="37">
        <v>4.5</v>
      </c>
      <c r="M293" s="37">
        <v>45</v>
      </c>
      <c r="N293" s="42"/>
      <c r="O293" s="42"/>
      <c r="P293" s="42"/>
      <c r="Q293" s="42"/>
      <c r="R293" s="37">
        <v>45</v>
      </c>
      <c r="S293" s="38">
        <v>600</v>
      </c>
      <c r="T293" s="43" t="s">
        <v>46</v>
      </c>
      <c r="U293" s="39">
        <v>597.55100000000004</v>
      </c>
      <c r="V293" s="25">
        <f t="shared" si="63"/>
        <v>-2.4489999999999554</v>
      </c>
      <c r="W293" s="44"/>
      <c r="X293" s="45"/>
      <c r="Y293" s="124" t="s">
        <v>247</v>
      </c>
      <c r="Z293" s="124">
        <v>0</v>
      </c>
      <c r="AA293" s="138"/>
      <c r="AB293" s="124">
        <v>5.59</v>
      </c>
      <c r="AC293" s="130">
        <f t="shared" si="65"/>
        <v>5.59</v>
      </c>
      <c r="AD293" s="45">
        <v>7</v>
      </c>
      <c r="AE293" s="46">
        <v>107</v>
      </c>
      <c r="AF293" s="47">
        <v>45</v>
      </c>
      <c r="AG293" s="167" t="str">
        <f t="shared" si="53"/>
        <v/>
      </c>
      <c r="AH293" s="168">
        <f t="shared" si="54"/>
        <v>-1.0267432499999811</v>
      </c>
      <c r="AI293" s="168" t="str">
        <f t="shared" si="55"/>
        <v/>
      </c>
      <c r="AJ293" s="167">
        <f t="shared" si="56"/>
        <v>-2.4413672833332885</v>
      </c>
      <c r="AK293" s="167">
        <f t="shared" si="57"/>
        <v>217719.32</v>
      </c>
      <c r="AL293" s="167" t="str">
        <f t="shared" si="58"/>
        <v/>
      </c>
      <c r="AM293" s="167">
        <f t="shared" si="59"/>
        <v>888.65769113331703</v>
      </c>
    </row>
    <row r="294" spans="1:39" x14ac:dyDescent="0.25">
      <c r="A294" s="128"/>
      <c r="B294" s="128"/>
      <c r="C294" s="128"/>
      <c r="D294" s="128"/>
      <c r="E294" s="128">
        <v>1</v>
      </c>
      <c r="F294" s="128"/>
      <c r="G294" s="128"/>
      <c r="H294" s="128"/>
      <c r="I294" s="128"/>
      <c r="J294" s="99" t="s">
        <v>141</v>
      </c>
      <c r="K294" s="42" t="s">
        <v>577</v>
      </c>
      <c r="L294" s="37">
        <v>4.5</v>
      </c>
      <c r="M294" s="37">
        <v>51</v>
      </c>
      <c r="N294" s="42"/>
      <c r="O294" s="42"/>
      <c r="P294" s="42"/>
      <c r="Q294" s="42"/>
      <c r="R294" s="37">
        <v>51</v>
      </c>
      <c r="S294" s="38">
        <v>600</v>
      </c>
      <c r="T294" s="43" t="s">
        <v>46</v>
      </c>
      <c r="U294" s="39">
        <v>607.29999999999995</v>
      </c>
      <c r="V294" s="25">
        <f t="shared" si="63"/>
        <v>7.2999999999999545</v>
      </c>
      <c r="W294" s="44"/>
      <c r="X294" s="45"/>
      <c r="Y294" s="124" t="s">
        <v>247</v>
      </c>
      <c r="Z294" s="124"/>
      <c r="AA294" s="138"/>
      <c r="AB294" s="124">
        <v>4.79</v>
      </c>
      <c r="AC294" s="130">
        <f t="shared" si="65"/>
        <v>4.79</v>
      </c>
      <c r="AD294" s="45">
        <v>7</v>
      </c>
      <c r="AE294" s="46">
        <v>107</v>
      </c>
      <c r="AF294" s="47">
        <v>51</v>
      </c>
      <c r="AG294" s="167">
        <f t="shared" si="53"/>
        <v>2.9721949999999815</v>
      </c>
      <c r="AH294" s="168" t="str">
        <f t="shared" si="54"/>
        <v/>
      </c>
      <c r="AI294" s="168">
        <f t="shared" si="55"/>
        <v>6.2357816666666279</v>
      </c>
      <c r="AJ294" s="167" t="str">
        <f t="shared" si="56"/>
        <v/>
      </c>
      <c r="AK294" s="167">
        <f t="shared" si="57"/>
        <v>186560.92</v>
      </c>
      <c r="AL294" s="167">
        <f t="shared" si="58"/>
        <v>2269.8245266666527</v>
      </c>
      <c r="AM294" s="167" t="str">
        <f t="shared" si="59"/>
        <v/>
      </c>
    </row>
    <row r="295" spans="1:39" x14ac:dyDescent="0.25">
      <c r="A295" s="124" t="s">
        <v>585</v>
      </c>
      <c r="B295" s="124" t="s">
        <v>203</v>
      </c>
      <c r="C295" s="124" t="s">
        <v>586</v>
      </c>
      <c r="D295" s="124"/>
      <c r="E295" s="124">
        <v>1</v>
      </c>
      <c r="F295" s="124"/>
      <c r="G295" s="124">
        <v>0</v>
      </c>
      <c r="H295" s="124">
        <v>0</v>
      </c>
      <c r="I295" s="124">
        <v>0</v>
      </c>
      <c r="J295" s="147" t="s">
        <v>141</v>
      </c>
      <c r="K295" s="148" t="s">
        <v>204</v>
      </c>
      <c r="L295" s="148"/>
      <c r="M295" s="148">
        <v>19</v>
      </c>
      <c r="N295" s="148"/>
      <c r="O295" s="148"/>
      <c r="P295" s="148"/>
      <c r="Q295" s="148"/>
      <c r="R295" s="148"/>
      <c r="S295" s="149">
        <v>600</v>
      </c>
      <c r="T295" s="149" t="s">
        <v>46</v>
      </c>
      <c r="U295" s="150">
        <v>631</v>
      </c>
      <c r="V295" s="25">
        <f t="shared" si="63"/>
        <v>31</v>
      </c>
      <c r="W295" s="151"/>
      <c r="X295" s="152"/>
      <c r="Y295" s="124">
        <v>1</v>
      </c>
      <c r="Z295" s="124" t="s">
        <v>587</v>
      </c>
      <c r="AA295" s="124"/>
      <c r="AB295" s="153">
        <v>4.5</v>
      </c>
      <c r="AC295" s="154">
        <f t="shared" si="65"/>
        <v>4.5</v>
      </c>
      <c r="AD295" s="152">
        <v>7</v>
      </c>
      <c r="AE295" s="155">
        <v>100</v>
      </c>
      <c r="AF295" s="156">
        <v>19</v>
      </c>
      <c r="AG295" s="167">
        <f t="shared" si="53"/>
        <v>4.4174999999999995</v>
      </c>
      <c r="AH295" s="168" t="str">
        <f t="shared" si="54"/>
        <v/>
      </c>
      <c r="AI295" s="168">
        <f t="shared" si="55"/>
        <v>23.25</v>
      </c>
      <c r="AJ295" s="167" t="str">
        <f t="shared" si="56"/>
        <v/>
      </c>
      <c r="AK295" s="167">
        <f t="shared" si="57"/>
        <v>163800</v>
      </c>
      <c r="AL295" s="167">
        <f t="shared" si="58"/>
        <v>8463</v>
      </c>
      <c r="AM295" s="167" t="str">
        <f t="shared" si="59"/>
        <v/>
      </c>
    </row>
    <row r="296" spans="1:39" x14ac:dyDescent="0.25">
      <c r="A296" s="128" t="s">
        <v>588</v>
      </c>
      <c r="B296" s="128" t="s">
        <v>588</v>
      </c>
      <c r="C296" s="128" t="s">
        <v>588</v>
      </c>
      <c r="D296" s="128"/>
      <c r="E296" s="128">
        <v>1</v>
      </c>
      <c r="F296" s="128"/>
      <c r="G296" s="128">
        <v>0</v>
      </c>
      <c r="H296" s="124">
        <v>0</v>
      </c>
      <c r="I296" s="124">
        <v>0</v>
      </c>
      <c r="J296" s="147" t="s">
        <v>589</v>
      </c>
      <c r="K296" s="148" t="s">
        <v>48</v>
      </c>
      <c r="L296" s="148"/>
      <c r="M296" s="148">
        <v>42</v>
      </c>
      <c r="N296" s="157"/>
      <c r="O296" s="157"/>
      <c r="P296" s="157"/>
      <c r="Q296" s="157"/>
      <c r="R296" s="148"/>
      <c r="S296" s="149">
        <v>600</v>
      </c>
      <c r="T296" s="158" t="s">
        <v>46</v>
      </c>
      <c r="U296" s="150">
        <v>620</v>
      </c>
      <c r="V296" s="25">
        <f t="shared" si="63"/>
        <v>20</v>
      </c>
      <c r="W296" s="160"/>
      <c r="X296" s="161"/>
      <c r="Y296" s="124">
        <v>1</v>
      </c>
      <c r="Z296" s="124" t="s">
        <v>587</v>
      </c>
      <c r="AA296" s="124"/>
      <c r="AB296" s="153">
        <v>5</v>
      </c>
      <c r="AC296" s="154">
        <f t="shared" si="65"/>
        <v>5</v>
      </c>
      <c r="AD296" s="161">
        <v>7</v>
      </c>
      <c r="AE296" s="162">
        <v>250</v>
      </c>
      <c r="AF296" s="163">
        <v>42</v>
      </c>
      <c r="AG296" s="167">
        <f t="shared" si="53"/>
        <v>7</v>
      </c>
      <c r="AH296" s="168" t="str">
        <f t="shared" si="54"/>
        <v/>
      </c>
      <c r="AI296" s="168">
        <f t="shared" si="55"/>
        <v>41.666666666666664</v>
      </c>
      <c r="AJ296" s="167" t="str">
        <f t="shared" si="56"/>
        <v/>
      </c>
      <c r="AK296" s="167">
        <f t="shared" si="57"/>
        <v>455000</v>
      </c>
      <c r="AL296" s="167">
        <f t="shared" si="58"/>
        <v>15166.666666666664</v>
      </c>
      <c r="AM296" s="167" t="str">
        <f t="shared" si="59"/>
        <v/>
      </c>
    </row>
    <row r="297" spans="1:39" ht="26.25" hidden="1" x14ac:dyDescent="0.25">
      <c r="A297" s="128" t="s">
        <v>590</v>
      </c>
      <c r="B297" s="128" t="s">
        <v>42</v>
      </c>
      <c r="C297" s="128" t="s">
        <v>591</v>
      </c>
      <c r="D297" s="128"/>
      <c r="E297" s="128">
        <v>1</v>
      </c>
      <c r="F297" s="128"/>
      <c r="G297" s="128">
        <v>0</v>
      </c>
      <c r="H297" s="128">
        <v>0</v>
      </c>
      <c r="I297" s="128">
        <v>0</v>
      </c>
      <c r="J297" s="164" t="s">
        <v>92</v>
      </c>
      <c r="K297" s="157" t="s">
        <v>592</v>
      </c>
      <c r="L297" s="148"/>
      <c r="M297" s="148"/>
      <c r="N297" s="157"/>
      <c r="O297" s="157">
        <v>1</v>
      </c>
      <c r="P297" s="157"/>
      <c r="Q297" s="157"/>
      <c r="R297" s="148"/>
      <c r="S297" s="149">
        <v>10000</v>
      </c>
      <c r="T297" s="158" t="s">
        <v>46</v>
      </c>
      <c r="U297" s="150">
        <v>10081</v>
      </c>
      <c r="V297" s="159">
        <f t="shared" si="63"/>
        <v>81</v>
      </c>
      <c r="W297" s="160"/>
      <c r="X297" s="161"/>
      <c r="Y297" s="124">
        <v>1</v>
      </c>
      <c r="Z297" s="124" t="s">
        <v>587</v>
      </c>
      <c r="AA297" s="124"/>
      <c r="AB297" s="153">
        <v>45</v>
      </c>
      <c r="AC297" s="154">
        <f t="shared" si="65"/>
        <v>45</v>
      </c>
      <c r="AD297" s="161">
        <v>7</v>
      </c>
      <c r="AE297" s="162">
        <v>150</v>
      </c>
      <c r="AF297" s="163">
        <v>150</v>
      </c>
      <c r="AG297" s="167">
        <f t="shared" si="53"/>
        <v>54.674999999999997</v>
      </c>
      <c r="AH297" s="168" t="str">
        <f t="shared" si="54"/>
        <v/>
      </c>
      <c r="AI297" s="168">
        <f t="shared" si="55"/>
        <v>54.674999999999997</v>
      </c>
      <c r="AJ297" s="167" t="str">
        <f t="shared" si="56"/>
        <v/>
      </c>
      <c r="AK297" s="167">
        <f t="shared" si="57"/>
        <v>2457000</v>
      </c>
      <c r="AL297" s="167">
        <f t="shared" si="58"/>
        <v>19901.699999999997</v>
      </c>
      <c r="AM297" s="167" t="str">
        <f t="shared" si="59"/>
        <v/>
      </c>
    </row>
    <row r="298" spans="1:39" hidden="1" x14ac:dyDescent="0.25">
      <c r="A298" s="128" t="s">
        <v>588</v>
      </c>
      <c r="B298" s="128" t="s">
        <v>588</v>
      </c>
      <c r="C298" s="128" t="s">
        <v>588</v>
      </c>
      <c r="D298" s="128"/>
      <c r="E298" s="128">
        <v>1</v>
      </c>
      <c r="F298" s="128"/>
      <c r="G298" s="128">
        <v>0</v>
      </c>
      <c r="H298" s="128">
        <v>0</v>
      </c>
      <c r="I298" s="128">
        <v>0</v>
      </c>
      <c r="J298" s="164" t="s">
        <v>92</v>
      </c>
      <c r="K298" s="157" t="s">
        <v>593</v>
      </c>
      <c r="L298" s="148"/>
      <c r="M298" s="148"/>
      <c r="N298" s="157"/>
      <c r="O298" s="157">
        <v>1</v>
      </c>
      <c r="P298" s="157"/>
      <c r="Q298" s="157"/>
      <c r="R298" s="148"/>
      <c r="S298" s="149">
        <v>10000</v>
      </c>
      <c r="T298" s="158" t="s">
        <v>46</v>
      </c>
      <c r="U298" s="150">
        <v>10231</v>
      </c>
      <c r="V298" s="159">
        <f t="shared" si="63"/>
        <v>231</v>
      </c>
      <c r="W298" s="160"/>
      <c r="X298" s="161"/>
      <c r="Y298" s="124">
        <v>1</v>
      </c>
      <c r="Z298" s="124" t="s">
        <v>587</v>
      </c>
      <c r="AA298" s="124"/>
      <c r="AB298" s="153">
        <v>50</v>
      </c>
      <c r="AC298" s="154">
        <f t="shared" si="65"/>
        <v>50</v>
      </c>
      <c r="AD298" s="161">
        <v>7</v>
      </c>
      <c r="AE298" s="162">
        <v>150</v>
      </c>
      <c r="AF298" s="163">
        <v>150</v>
      </c>
      <c r="AG298" s="167">
        <f t="shared" si="53"/>
        <v>173.25</v>
      </c>
      <c r="AH298" s="168" t="str">
        <f t="shared" si="54"/>
        <v/>
      </c>
      <c r="AI298" s="168">
        <f t="shared" si="55"/>
        <v>173.25</v>
      </c>
      <c r="AJ298" s="167" t="str">
        <f t="shared" si="56"/>
        <v/>
      </c>
      <c r="AK298" s="167">
        <f t="shared" si="57"/>
        <v>2730000</v>
      </c>
      <c r="AL298" s="167">
        <f t="shared" si="58"/>
        <v>63063</v>
      </c>
      <c r="AM298" s="167" t="str">
        <f t="shared" si="59"/>
        <v/>
      </c>
    </row>
    <row r="299" spans="1:39" hidden="1" x14ac:dyDescent="0.25">
      <c r="A299" s="128" t="s">
        <v>594</v>
      </c>
      <c r="B299" s="128" t="s">
        <v>205</v>
      </c>
      <c r="C299" s="128" t="s">
        <v>595</v>
      </c>
      <c r="D299" s="128"/>
      <c r="E299" s="128">
        <v>1</v>
      </c>
      <c r="F299" s="128"/>
      <c r="G299" s="128">
        <v>0</v>
      </c>
      <c r="H299" s="128">
        <v>0</v>
      </c>
      <c r="I299" s="128">
        <v>0</v>
      </c>
      <c r="J299" s="164" t="s">
        <v>102</v>
      </c>
      <c r="K299" s="157" t="s">
        <v>596</v>
      </c>
      <c r="L299" s="148"/>
      <c r="M299" s="148"/>
      <c r="N299" s="157"/>
      <c r="O299" s="157"/>
      <c r="P299" s="157"/>
      <c r="Q299" s="157"/>
      <c r="R299" s="148">
        <v>14</v>
      </c>
      <c r="S299" s="149">
        <v>6252</v>
      </c>
      <c r="T299" s="158" t="s">
        <v>46</v>
      </c>
      <c r="U299" s="150">
        <v>6276</v>
      </c>
      <c r="V299" s="159">
        <f t="shared" si="63"/>
        <v>24</v>
      </c>
      <c r="W299" s="160"/>
      <c r="X299" s="161"/>
      <c r="Y299" s="124">
        <v>1</v>
      </c>
      <c r="Z299" s="124" t="s">
        <v>587</v>
      </c>
      <c r="AA299" s="153">
        <v>10.9</v>
      </c>
      <c r="AB299" s="124"/>
      <c r="AC299" s="154">
        <f t="shared" si="65"/>
        <v>4.867628571428571</v>
      </c>
      <c r="AD299" s="161">
        <v>6</v>
      </c>
      <c r="AE299" s="162">
        <v>50</v>
      </c>
      <c r="AF299" s="163">
        <v>14</v>
      </c>
      <c r="AG299" s="167">
        <f t="shared" si="53"/>
        <v>0.2616</v>
      </c>
      <c r="AH299" s="168" t="str">
        <f t="shared" si="54"/>
        <v/>
      </c>
      <c r="AI299" s="168">
        <f t="shared" si="55"/>
        <v>0.93428571428571427</v>
      </c>
      <c r="AJ299" s="167" t="str">
        <f t="shared" si="56"/>
        <v/>
      </c>
      <c r="AK299" s="167">
        <f t="shared" si="57"/>
        <v>75935.005714285711</v>
      </c>
      <c r="AL299" s="167">
        <f t="shared" si="58"/>
        <v>291.49714285714288</v>
      </c>
      <c r="AM299" s="167" t="str">
        <f t="shared" si="59"/>
        <v/>
      </c>
    </row>
    <row r="300" spans="1:39" hidden="1" x14ac:dyDescent="0.25">
      <c r="A300" s="128" t="s">
        <v>588</v>
      </c>
      <c r="B300" s="128" t="s">
        <v>588</v>
      </c>
      <c r="C300" s="128" t="s">
        <v>588</v>
      </c>
      <c r="D300" s="128"/>
      <c r="E300" s="128">
        <v>1</v>
      </c>
      <c r="F300" s="128"/>
      <c r="G300" s="128">
        <v>0</v>
      </c>
      <c r="H300" s="128">
        <v>0</v>
      </c>
      <c r="I300" s="128">
        <v>0</v>
      </c>
      <c r="J300" s="164" t="s">
        <v>102</v>
      </c>
      <c r="K300" s="157" t="s">
        <v>597</v>
      </c>
      <c r="L300" s="148"/>
      <c r="M300" s="148"/>
      <c r="N300" s="157"/>
      <c r="O300" s="157"/>
      <c r="P300" s="157"/>
      <c r="Q300" s="157"/>
      <c r="R300" s="148">
        <v>19</v>
      </c>
      <c r="S300" s="149">
        <v>10286</v>
      </c>
      <c r="T300" s="158" t="s">
        <v>46</v>
      </c>
      <c r="U300" s="150">
        <v>10316</v>
      </c>
      <c r="V300" s="159">
        <f t="shared" si="63"/>
        <v>30</v>
      </c>
      <c r="W300" s="160"/>
      <c r="X300" s="161"/>
      <c r="Y300" s="124">
        <v>1</v>
      </c>
      <c r="Z300" s="124" t="s">
        <v>587</v>
      </c>
      <c r="AA300" s="153">
        <v>12.4</v>
      </c>
      <c r="AB300" s="124"/>
      <c r="AC300" s="154">
        <f t="shared" si="65"/>
        <v>6.712968421052631</v>
      </c>
      <c r="AD300" s="161">
        <v>6</v>
      </c>
      <c r="AE300" s="162">
        <v>50</v>
      </c>
      <c r="AF300" s="163">
        <v>19</v>
      </c>
      <c r="AG300" s="167">
        <f t="shared" si="53"/>
        <v>0.37199999999999994</v>
      </c>
      <c r="AH300" s="168" t="str">
        <f t="shared" si="54"/>
        <v/>
      </c>
      <c r="AI300" s="168">
        <f t="shared" si="55"/>
        <v>0.97894736842105246</v>
      </c>
      <c r="AJ300" s="167" t="str">
        <f t="shared" si="56"/>
        <v/>
      </c>
      <c r="AK300" s="167">
        <f t="shared" si="57"/>
        <v>104722.30736842104</v>
      </c>
      <c r="AL300" s="167">
        <f t="shared" si="58"/>
        <v>305.43157894736834</v>
      </c>
      <c r="AM300" s="167" t="str">
        <f t="shared" si="59"/>
        <v/>
      </c>
    </row>
    <row r="301" spans="1:39" hidden="1" x14ac:dyDescent="0.25">
      <c r="A301" s="128" t="s">
        <v>588</v>
      </c>
      <c r="B301" s="128" t="s">
        <v>588</v>
      </c>
      <c r="C301" s="128" t="s">
        <v>588</v>
      </c>
      <c r="D301" s="128"/>
      <c r="E301" s="128">
        <v>1</v>
      </c>
      <c r="F301" s="128"/>
      <c r="G301" s="128">
        <v>0</v>
      </c>
      <c r="H301" s="128">
        <v>0</v>
      </c>
      <c r="I301" s="128">
        <v>0</v>
      </c>
      <c r="J301" s="164" t="s">
        <v>102</v>
      </c>
      <c r="K301" s="157" t="s">
        <v>598</v>
      </c>
      <c r="L301" s="148"/>
      <c r="M301" s="148"/>
      <c r="N301" s="157"/>
      <c r="O301" s="157"/>
      <c r="P301" s="157"/>
      <c r="Q301" s="157"/>
      <c r="R301" s="148">
        <v>19</v>
      </c>
      <c r="S301" s="149">
        <v>19470</v>
      </c>
      <c r="T301" s="158" t="s">
        <v>46</v>
      </c>
      <c r="U301" s="150">
        <v>19506</v>
      </c>
      <c r="V301" s="159">
        <f t="shared" si="63"/>
        <v>36</v>
      </c>
      <c r="W301" s="160"/>
      <c r="X301" s="161"/>
      <c r="Y301" s="124">
        <v>1</v>
      </c>
      <c r="Z301" s="124" t="s">
        <v>587</v>
      </c>
      <c r="AA301" s="153">
        <v>44.9</v>
      </c>
      <c r="AB301" s="124"/>
      <c r="AC301" s="154">
        <f t="shared" si="65"/>
        <v>46.010684210526307</v>
      </c>
      <c r="AD301" s="161">
        <v>6</v>
      </c>
      <c r="AE301" s="162">
        <v>50</v>
      </c>
      <c r="AF301" s="163">
        <v>19</v>
      </c>
      <c r="AG301" s="167">
        <f t="shared" si="53"/>
        <v>1.6163999999999996</v>
      </c>
      <c r="AH301" s="168" t="str">
        <f t="shared" si="54"/>
        <v/>
      </c>
      <c r="AI301" s="168">
        <f t="shared" si="55"/>
        <v>4.2536842105263153</v>
      </c>
      <c r="AJ301" s="167" t="str">
        <f t="shared" si="56"/>
        <v/>
      </c>
      <c r="AK301" s="167">
        <f t="shared" si="57"/>
        <v>717766.6736842104</v>
      </c>
      <c r="AL301" s="167">
        <f t="shared" si="58"/>
        <v>1327.1494736842103</v>
      </c>
      <c r="AM301" s="167" t="str">
        <f t="shared" si="59"/>
        <v/>
      </c>
    </row>
    <row r="302" spans="1:39" hidden="1" x14ac:dyDescent="0.25">
      <c r="A302" s="128" t="s">
        <v>599</v>
      </c>
      <c r="B302" s="128" t="s">
        <v>205</v>
      </c>
      <c r="C302" s="128" t="s">
        <v>600</v>
      </c>
      <c r="D302" s="128"/>
      <c r="E302" s="128">
        <v>1</v>
      </c>
      <c r="F302" s="128"/>
      <c r="G302" s="128">
        <v>0</v>
      </c>
      <c r="H302" s="128">
        <v>0</v>
      </c>
      <c r="I302" s="128">
        <v>0</v>
      </c>
      <c r="J302" s="164" t="s">
        <v>102</v>
      </c>
      <c r="K302" s="157" t="s">
        <v>601</v>
      </c>
      <c r="L302" s="148"/>
      <c r="M302" s="148"/>
      <c r="N302" s="157"/>
      <c r="O302" s="157"/>
      <c r="P302" s="157"/>
      <c r="Q302" s="157"/>
      <c r="R302" s="148">
        <v>19</v>
      </c>
      <c r="S302" s="149">
        <v>16600</v>
      </c>
      <c r="T302" s="158" t="s">
        <v>46</v>
      </c>
      <c r="U302" s="150">
        <v>16650</v>
      </c>
      <c r="V302" s="159">
        <f t="shared" si="63"/>
        <v>50</v>
      </c>
      <c r="W302" s="160"/>
      <c r="X302" s="161"/>
      <c r="Y302" s="124">
        <v>1</v>
      </c>
      <c r="Z302" s="124" t="s">
        <v>587</v>
      </c>
      <c r="AA302" s="153">
        <v>73.989999999999995</v>
      </c>
      <c r="AB302" s="124"/>
      <c r="AC302" s="154">
        <f t="shared" si="65"/>
        <v>64.6438947368421</v>
      </c>
      <c r="AD302" s="161">
        <v>6</v>
      </c>
      <c r="AE302" s="162">
        <v>50</v>
      </c>
      <c r="AF302" s="163">
        <v>19</v>
      </c>
      <c r="AG302" s="167">
        <f t="shared" si="53"/>
        <v>3.6994999999999996</v>
      </c>
      <c r="AH302" s="168" t="str">
        <f t="shared" si="54"/>
        <v/>
      </c>
      <c r="AI302" s="168">
        <f t="shared" si="55"/>
        <v>9.7355263157894729</v>
      </c>
      <c r="AJ302" s="167" t="str">
        <f t="shared" si="56"/>
        <v/>
      </c>
      <c r="AK302" s="167">
        <f t="shared" si="57"/>
        <v>1008444.7578947367</v>
      </c>
      <c r="AL302" s="167">
        <f t="shared" si="58"/>
        <v>3037.4842105263156</v>
      </c>
      <c r="AM302" s="167" t="str">
        <f t="shared" si="59"/>
        <v/>
      </c>
    </row>
    <row r="303" spans="1:39" hidden="1" x14ac:dyDescent="0.25">
      <c r="A303" s="128" t="s">
        <v>588</v>
      </c>
      <c r="B303" s="128" t="s">
        <v>588</v>
      </c>
      <c r="C303" s="128" t="s">
        <v>588</v>
      </c>
      <c r="D303" s="128"/>
      <c r="E303" s="128">
        <v>1</v>
      </c>
      <c r="F303" s="128"/>
      <c r="G303" s="128">
        <v>0</v>
      </c>
      <c r="H303" s="128">
        <v>0</v>
      </c>
      <c r="I303" s="128">
        <v>0</v>
      </c>
      <c r="J303" s="164" t="s">
        <v>102</v>
      </c>
      <c r="K303" s="157" t="s">
        <v>602</v>
      </c>
      <c r="L303" s="148"/>
      <c r="M303" s="148"/>
      <c r="N303" s="157"/>
      <c r="O303" s="157"/>
      <c r="P303" s="157"/>
      <c r="Q303" s="157"/>
      <c r="R303" s="148">
        <v>19</v>
      </c>
      <c r="S303" s="149">
        <v>17398</v>
      </c>
      <c r="T303" s="158" t="s">
        <v>46</v>
      </c>
      <c r="U303" s="150">
        <v>17456</v>
      </c>
      <c r="V303" s="159">
        <f t="shared" si="63"/>
        <v>58</v>
      </c>
      <c r="W303" s="160"/>
      <c r="X303" s="161"/>
      <c r="Y303" s="124">
        <v>1</v>
      </c>
      <c r="Z303" s="124" t="s">
        <v>587</v>
      </c>
      <c r="AA303" s="153">
        <v>65.989999999999995</v>
      </c>
      <c r="AB303" s="124"/>
      <c r="AC303" s="154">
        <f t="shared" si="65"/>
        <v>60.42600105263157</v>
      </c>
      <c r="AD303" s="161">
        <v>6</v>
      </c>
      <c r="AE303" s="162">
        <v>50</v>
      </c>
      <c r="AF303" s="163">
        <v>19</v>
      </c>
      <c r="AG303" s="167">
        <f t="shared" si="53"/>
        <v>3.8274199999999996</v>
      </c>
      <c r="AH303" s="168" t="str">
        <f t="shared" si="54"/>
        <v/>
      </c>
      <c r="AI303" s="168">
        <f t="shared" si="55"/>
        <v>10.072157894736842</v>
      </c>
      <c r="AJ303" s="167" t="str">
        <f t="shared" si="56"/>
        <v/>
      </c>
      <c r="AK303" s="167">
        <f t="shared" si="57"/>
        <v>942645.61642105249</v>
      </c>
      <c r="AL303" s="167">
        <f t="shared" si="58"/>
        <v>3142.5132631578949</v>
      </c>
      <c r="AM303" s="167" t="str">
        <f t="shared" si="59"/>
        <v/>
      </c>
    </row>
    <row r="304" spans="1:39" hidden="1" x14ac:dyDescent="0.25">
      <c r="A304" s="128" t="s">
        <v>588</v>
      </c>
      <c r="B304" s="128" t="s">
        <v>588</v>
      </c>
      <c r="C304" s="128" t="s">
        <v>588</v>
      </c>
      <c r="D304" s="128"/>
      <c r="E304" s="128">
        <v>1</v>
      </c>
      <c r="F304" s="128"/>
      <c r="G304" s="128">
        <v>0</v>
      </c>
      <c r="H304" s="128">
        <v>0</v>
      </c>
      <c r="I304" s="128">
        <v>0</v>
      </c>
      <c r="J304" s="164" t="s">
        <v>102</v>
      </c>
      <c r="K304" s="157" t="s">
        <v>603</v>
      </c>
      <c r="L304" s="148"/>
      <c r="M304" s="148"/>
      <c r="N304" s="157"/>
      <c r="O304" s="157"/>
      <c r="P304" s="157"/>
      <c r="Q304" s="157"/>
      <c r="R304" s="148">
        <v>19</v>
      </c>
      <c r="S304" s="149">
        <v>9800</v>
      </c>
      <c r="T304" s="158" t="s">
        <v>46</v>
      </c>
      <c r="U304" s="150">
        <v>9834</v>
      </c>
      <c r="V304" s="159">
        <f t="shared" si="63"/>
        <v>34</v>
      </c>
      <c r="W304" s="160"/>
      <c r="X304" s="161"/>
      <c r="Y304" s="124">
        <v>1</v>
      </c>
      <c r="Z304" s="124" t="s">
        <v>587</v>
      </c>
      <c r="AA304" s="153">
        <v>55.99</v>
      </c>
      <c r="AB304" s="124"/>
      <c r="AC304" s="154">
        <f t="shared" si="65"/>
        <v>28.879052631578947</v>
      </c>
      <c r="AD304" s="161">
        <v>6</v>
      </c>
      <c r="AE304" s="162">
        <v>50</v>
      </c>
      <c r="AF304" s="163">
        <v>19</v>
      </c>
      <c r="AG304" s="167">
        <f t="shared" si="53"/>
        <v>1.9036599999999999</v>
      </c>
      <c r="AH304" s="168" t="str">
        <f t="shared" si="54"/>
        <v/>
      </c>
      <c r="AI304" s="168">
        <f t="shared" si="55"/>
        <v>5.009631578947368</v>
      </c>
      <c r="AJ304" s="167" t="str">
        <f t="shared" si="56"/>
        <v/>
      </c>
      <c r="AK304" s="167">
        <f t="shared" si="57"/>
        <v>450513.22105263162</v>
      </c>
      <c r="AL304" s="167">
        <f t="shared" si="58"/>
        <v>1563.005052631579</v>
      </c>
      <c r="AM304" s="167" t="str">
        <f t="shared" si="59"/>
        <v/>
      </c>
    </row>
    <row r="305" spans="1:39" hidden="1" x14ac:dyDescent="0.25">
      <c r="A305" s="128" t="s">
        <v>604</v>
      </c>
      <c r="B305" s="128" t="s">
        <v>201</v>
      </c>
      <c r="C305" s="128" t="s">
        <v>605</v>
      </c>
      <c r="D305" s="128"/>
      <c r="E305" s="128">
        <v>1</v>
      </c>
      <c r="F305" s="128"/>
      <c r="G305" s="128">
        <v>0</v>
      </c>
      <c r="H305" s="128">
        <v>0</v>
      </c>
      <c r="I305" s="128">
        <v>0</v>
      </c>
      <c r="J305" s="164" t="s">
        <v>102</v>
      </c>
      <c r="K305" s="157" t="s">
        <v>606</v>
      </c>
      <c r="L305" s="148"/>
      <c r="M305" s="148">
        <v>31</v>
      </c>
      <c r="N305" s="157"/>
      <c r="O305" s="157"/>
      <c r="P305" s="157"/>
      <c r="Q305" s="157"/>
      <c r="R305" s="148"/>
      <c r="S305" s="149">
        <v>1000</v>
      </c>
      <c r="T305" s="158" t="s">
        <v>46</v>
      </c>
      <c r="U305" s="150">
        <v>1003</v>
      </c>
      <c r="V305" s="159">
        <f t="shared" si="63"/>
        <v>3</v>
      </c>
      <c r="W305" s="160"/>
      <c r="X305" s="161"/>
      <c r="Y305" s="124">
        <v>1</v>
      </c>
      <c r="Z305" s="124" t="s">
        <v>587</v>
      </c>
      <c r="AA305" s="124"/>
      <c r="AB305" s="153">
        <v>30</v>
      </c>
      <c r="AC305" s="154">
        <f t="shared" si="65"/>
        <v>30</v>
      </c>
      <c r="AD305" s="161">
        <v>6</v>
      </c>
      <c r="AE305" s="162">
        <v>100</v>
      </c>
      <c r="AF305" s="163">
        <v>31</v>
      </c>
      <c r="AG305" s="167">
        <f t="shared" si="53"/>
        <v>2.79</v>
      </c>
      <c r="AH305" s="168" t="str">
        <f t="shared" si="54"/>
        <v/>
      </c>
      <c r="AI305" s="168">
        <f t="shared" si="55"/>
        <v>9</v>
      </c>
      <c r="AJ305" s="167" t="str">
        <f t="shared" si="56"/>
        <v/>
      </c>
      <c r="AK305" s="167">
        <f t="shared" si="57"/>
        <v>936000</v>
      </c>
      <c r="AL305" s="167">
        <f t="shared" si="58"/>
        <v>2808</v>
      </c>
      <c r="AM305" s="167" t="str">
        <f t="shared" si="59"/>
        <v/>
      </c>
    </row>
    <row r="306" spans="1:39" hidden="1" x14ac:dyDescent="0.25">
      <c r="A306" s="128" t="s">
        <v>588</v>
      </c>
      <c r="B306" s="128" t="s">
        <v>588</v>
      </c>
      <c r="C306" s="128" t="s">
        <v>588</v>
      </c>
      <c r="D306" s="128"/>
      <c r="E306" s="128">
        <v>1</v>
      </c>
      <c r="F306" s="128"/>
      <c r="G306" s="128">
        <v>0</v>
      </c>
      <c r="H306" s="128">
        <v>0</v>
      </c>
      <c r="I306" s="128">
        <v>0</v>
      </c>
      <c r="J306" s="164" t="s">
        <v>102</v>
      </c>
      <c r="K306" s="157" t="s">
        <v>607</v>
      </c>
      <c r="L306" s="148"/>
      <c r="M306" s="148">
        <v>42</v>
      </c>
      <c r="N306" s="157"/>
      <c r="O306" s="157"/>
      <c r="P306" s="157"/>
      <c r="Q306" s="157"/>
      <c r="R306" s="148"/>
      <c r="S306" s="149">
        <v>1000</v>
      </c>
      <c r="T306" s="158" t="s">
        <v>46</v>
      </c>
      <c r="U306" s="150">
        <v>1001</v>
      </c>
      <c r="V306" s="159">
        <f t="shared" si="63"/>
        <v>1</v>
      </c>
      <c r="W306" s="160"/>
      <c r="X306" s="161"/>
      <c r="Y306" s="124">
        <v>1</v>
      </c>
      <c r="Z306" s="124" t="s">
        <v>587</v>
      </c>
      <c r="AA306" s="124"/>
      <c r="AB306" s="153">
        <v>27</v>
      </c>
      <c r="AC306" s="154">
        <f t="shared" si="65"/>
        <v>27</v>
      </c>
      <c r="AD306" s="161">
        <v>6</v>
      </c>
      <c r="AE306" s="162">
        <v>100</v>
      </c>
      <c r="AF306" s="163">
        <v>42</v>
      </c>
      <c r="AG306" s="167">
        <f t="shared" si="53"/>
        <v>1.1339999999999999</v>
      </c>
      <c r="AH306" s="168" t="str">
        <f t="shared" si="54"/>
        <v/>
      </c>
      <c r="AI306" s="168">
        <f t="shared" si="55"/>
        <v>2.7</v>
      </c>
      <c r="AJ306" s="167" t="str">
        <f t="shared" si="56"/>
        <v/>
      </c>
      <c r="AK306" s="167">
        <f t="shared" si="57"/>
        <v>842400</v>
      </c>
      <c r="AL306" s="167">
        <f t="shared" si="58"/>
        <v>842.40000000000009</v>
      </c>
      <c r="AM306" s="167" t="str">
        <f t="shared" si="59"/>
        <v/>
      </c>
    </row>
    <row r="307" spans="1:39" x14ac:dyDescent="0.25">
      <c r="A307" s="128" t="s">
        <v>608</v>
      </c>
      <c r="B307" s="128" t="s">
        <v>203</v>
      </c>
      <c r="C307" s="128" t="s">
        <v>609</v>
      </c>
      <c r="D307" s="128"/>
      <c r="E307" s="128">
        <v>1</v>
      </c>
      <c r="F307" s="128"/>
      <c r="G307" s="128">
        <v>0</v>
      </c>
      <c r="H307" s="128">
        <v>0</v>
      </c>
      <c r="I307" s="128">
        <v>0</v>
      </c>
      <c r="J307" s="147" t="s">
        <v>141</v>
      </c>
      <c r="K307" s="157" t="s">
        <v>204</v>
      </c>
      <c r="L307" s="148"/>
      <c r="M307" s="148"/>
      <c r="N307" s="157"/>
      <c r="O307" s="157">
        <v>1</v>
      </c>
      <c r="P307" s="157"/>
      <c r="Q307" s="157"/>
      <c r="R307" s="148"/>
      <c r="S307" s="149">
        <v>600</v>
      </c>
      <c r="T307" s="158" t="s">
        <v>46</v>
      </c>
      <c r="U307" s="150">
        <v>621</v>
      </c>
      <c r="V307" s="25">
        <f t="shared" si="63"/>
        <v>21</v>
      </c>
      <c r="W307" s="160"/>
      <c r="X307" s="161"/>
      <c r="Y307" s="124">
        <v>1</v>
      </c>
      <c r="Z307" s="124" t="s">
        <v>587</v>
      </c>
      <c r="AA307" s="124"/>
      <c r="AB307" s="153">
        <v>4.5</v>
      </c>
      <c r="AC307" s="154">
        <f t="shared" si="65"/>
        <v>4.5</v>
      </c>
      <c r="AD307" s="161">
        <v>6</v>
      </c>
      <c r="AE307" s="162">
        <v>150</v>
      </c>
      <c r="AF307" s="163">
        <v>150</v>
      </c>
      <c r="AG307" s="167">
        <f t="shared" si="53"/>
        <v>23.625</v>
      </c>
      <c r="AH307" s="168" t="str">
        <f t="shared" si="54"/>
        <v/>
      </c>
      <c r="AI307" s="168">
        <f t="shared" si="55"/>
        <v>23.625</v>
      </c>
      <c r="AJ307" s="167" t="str">
        <f t="shared" si="56"/>
        <v/>
      </c>
      <c r="AK307" s="167">
        <f t="shared" si="57"/>
        <v>210600</v>
      </c>
      <c r="AL307" s="167">
        <f t="shared" si="58"/>
        <v>7371</v>
      </c>
      <c r="AM307" s="167" t="str">
        <f t="shared" si="59"/>
        <v/>
      </c>
    </row>
    <row r="308" spans="1:39" x14ac:dyDescent="0.25">
      <c r="A308" s="128" t="s">
        <v>588</v>
      </c>
      <c r="B308" s="128" t="s">
        <v>588</v>
      </c>
      <c r="C308" s="128" t="s">
        <v>588</v>
      </c>
      <c r="D308" s="128"/>
      <c r="E308" s="128">
        <v>1</v>
      </c>
      <c r="F308" s="128"/>
      <c r="G308" s="128">
        <v>0</v>
      </c>
      <c r="H308" s="128">
        <v>0</v>
      </c>
      <c r="I308" s="128">
        <v>0</v>
      </c>
      <c r="J308" s="147" t="s">
        <v>589</v>
      </c>
      <c r="K308" s="157" t="s">
        <v>48</v>
      </c>
      <c r="L308" s="148"/>
      <c r="M308" s="148"/>
      <c r="N308" s="157"/>
      <c r="O308" s="157">
        <v>1</v>
      </c>
      <c r="P308" s="157"/>
      <c r="Q308" s="157"/>
      <c r="R308" s="148"/>
      <c r="S308" s="149">
        <v>600</v>
      </c>
      <c r="T308" s="158" t="s">
        <v>46</v>
      </c>
      <c r="U308" s="150">
        <v>612</v>
      </c>
      <c r="V308" s="25">
        <f t="shared" si="63"/>
        <v>12</v>
      </c>
      <c r="W308" s="160"/>
      <c r="X308" s="161"/>
      <c r="Y308" s="124">
        <v>1</v>
      </c>
      <c r="Z308" s="124" t="s">
        <v>587</v>
      </c>
      <c r="AA308" s="124"/>
      <c r="AB308" s="153">
        <v>5</v>
      </c>
      <c r="AC308" s="154">
        <f t="shared" si="65"/>
        <v>5</v>
      </c>
      <c r="AD308" s="161">
        <v>6</v>
      </c>
      <c r="AE308" s="162">
        <v>250</v>
      </c>
      <c r="AF308" s="163">
        <v>250</v>
      </c>
      <c r="AG308" s="167">
        <f t="shared" si="53"/>
        <v>25</v>
      </c>
      <c r="AH308" s="168" t="str">
        <f t="shared" si="54"/>
        <v/>
      </c>
      <c r="AI308" s="168">
        <f t="shared" si="55"/>
        <v>25</v>
      </c>
      <c r="AJ308" s="167" t="str">
        <f t="shared" si="56"/>
        <v/>
      </c>
      <c r="AK308" s="167">
        <f t="shared" si="57"/>
        <v>390000</v>
      </c>
      <c r="AL308" s="167">
        <f t="shared" si="58"/>
        <v>7800</v>
      </c>
      <c r="AM308" s="167" t="str">
        <f t="shared" si="59"/>
        <v/>
      </c>
    </row>
    <row r="309" spans="1:39" ht="26.25" x14ac:dyDescent="0.25">
      <c r="A309" s="128" t="s">
        <v>610</v>
      </c>
      <c r="B309" s="128" t="s">
        <v>203</v>
      </c>
      <c r="C309" s="128" t="s">
        <v>611</v>
      </c>
      <c r="D309" s="128"/>
      <c r="E309" s="128">
        <v>1</v>
      </c>
      <c r="F309" s="128"/>
      <c r="G309" s="128">
        <v>0</v>
      </c>
      <c r="H309" s="128">
        <v>0</v>
      </c>
      <c r="I309" s="128">
        <v>0</v>
      </c>
      <c r="J309" s="147" t="s">
        <v>589</v>
      </c>
      <c r="K309" s="157" t="s">
        <v>48</v>
      </c>
      <c r="L309" s="148"/>
      <c r="M309" s="148">
        <v>39</v>
      </c>
      <c r="N309" s="157"/>
      <c r="O309" s="157"/>
      <c r="P309" s="157"/>
      <c r="Q309" s="157"/>
      <c r="R309" s="148"/>
      <c r="S309" s="149">
        <v>600</v>
      </c>
      <c r="T309" s="158" t="s">
        <v>46</v>
      </c>
      <c r="U309" s="150">
        <v>596</v>
      </c>
      <c r="V309" s="25">
        <f t="shared" si="63"/>
        <v>-4</v>
      </c>
      <c r="W309" s="160"/>
      <c r="X309" s="161"/>
      <c r="Y309" s="124" t="s">
        <v>612</v>
      </c>
      <c r="Z309" s="124" t="s">
        <v>613</v>
      </c>
      <c r="AA309" s="124"/>
      <c r="AB309" s="153">
        <v>7.5</v>
      </c>
      <c r="AC309" s="154">
        <f t="shared" si="65"/>
        <v>7.5</v>
      </c>
      <c r="AD309" s="161">
        <v>6</v>
      </c>
      <c r="AE309" s="162">
        <v>350</v>
      </c>
      <c r="AF309" s="163">
        <v>39</v>
      </c>
      <c r="AG309" s="167" t="str">
        <f t="shared" si="53"/>
        <v/>
      </c>
      <c r="AH309" s="168">
        <f t="shared" si="54"/>
        <v>-1.9500000000000002</v>
      </c>
      <c r="AI309" s="168" t="str">
        <f t="shared" si="55"/>
        <v/>
      </c>
      <c r="AJ309" s="167">
        <f t="shared" si="56"/>
        <v>-17.5</v>
      </c>
      <c r="AK309" s="167">
        <f t="shared" si="57"/>
        <v>819000</v>
      </c>
      <c r="AL309" s="167" t="str">
        <f t="shared" si="58"/>
        <v/>
      </c>
      <c r="AM309" s="167">
        <f t="shared" si="59"/>
        <v>5460</v>
      </c>
    </row>
    <row r="310" spans="1:39" x14ac:dyDescent="0.25">
      <c r="A310" s="128" t="s">
        <v>588</v>
      </c>
      <c r="B310" s="128" t="s">
        <v>588</v>
      </c>
      <c r="C310" s="128" t="s">
        <v>588</v>
      </c>
      <c r="D310" s="128"/>
      <c r="E310" s="128">
        <v>1</v>
      </c>
      <c r="F310" s="128"/>
      <c r="G310" s="128">
        <v>0</v>
      </c>
      <c r="H310" s="128">
        <v>0</v>
      </c>
      <c r="I310" s="128">
        <v>0</v>
      </c>
      <c r="J310" s="147" t="s">
        <v>141</v>
      </c>
      <c r="K310" s="157" t="s">
        <v>204</v>
      </c>
      <c r="L310" s="148"/>
      <c r="M310" s="148">
        <v>42</v>
      </c>
      <c r="N310" s="157"/>
      <c r="O310" s="157"/>
      <c r="P310" s="157"/>
      <c r="Q310" s="157"/>
      <c r="R310" s="148"/>
      <c r="S310" s="149">
        <v>600</v>
      </c>
      <c r="T310" s="158" t="s">
        <v>46</v>
      </c>
      <c r="U310" s="150">
        <v>603</v>
      </c>
      <c r="V310" s="25">
        <f t="shared" si="63"/>
        <v>3</v>
      </c>
      <c r="W310" s="160"/>
      <c r="X310" s="161"/>
      <c r="Y310" s="124">
        <v>1</v>
      </c>
      <c r="Z310" s="124" t="s">
        <v>587</v>
      </c>
      <c r="AA310" s="124"/>
      <c r="AB310" s="153">
        <v>6.5</v>
      </c>
      <c r="AC310" s="154">
        <f t="shared" si="65"/>
        <v>6.5</v>
      </c>
      <c r="AD310" s="161">
        <v>6</v>
      </c>
      <c r="AE310" s="162">
        <v>150</v>
      </c>
      <c r="AF310" s="163">
        <v>42</v>
      </c>
      <c r="AG310" s="167">
        <f t="shared" si="53"/>
        <v>1.365</v>
      </c>
      <c r="AH310" s="168" t="str">
        <f t="shared" si="54"/>
        <v/>
      </c>
      <c r="AI310" s="168">
        <f t="shared" si="55"/>
        <v>4.875</v>
      </c>
      <c r="AJ310" s="167" t="str">
        <f t="shared" si="56"/>
        <v/>
      </c>
      <c r="AK310" s="167">
        <f t="shared" si="57"/>
        <v>304200</v>
      </c>
      <c r="AL310" s="167">
        <f t="shared" si="58"/>
        <v>1521</v>
      </c>
      <c r="AM310" s="167" t="str">
        <f t="shared" si="59"/>
        <v/>
      </c>
    </row>
    <row r="311" spans="1:39" hidden="1" x14ac:dyDescent="0.25">
      <c r="A311" s="128" t="s">
        <v>614</v>
      </c>
      <c r="B311" s="128" t="s">
        <v>201</v>
      </c>
      <c r="C311" s="128" t="s">
        <v>615</v>
      </c>
      <c r="D311" s="128"/>
      <c r="E311" s="128">
        <v>1</v>
      </c>
      <c r="F311" s="128"/>
      <c r="G311" s="128">
        <v>0</v>
      </c>
      <c r="H311" s="128">
        <v>0</v>
      </c>
      <c r="I311" s="128">
        <v>0</v>
      </c>
      <c r="J311" s="165" t="s">
        <v>117</v>
      </c>
      <c r="K311" s="157" t="s">
        <v>616</v>
      </c>
      <c r="L311" s="148"/>
      <c r="M311" s="148">
        <v>15</v>
      </c>
      <c r="N311" s="157"/>
      <c r="O311" s="157"/>
      <c r="P311" s="157"/>
      <c r="Q311" s="157"/>
      <c r="R311" s="148"/>
      <c r="S311" s="149">
        <v>1000</v>
      </c>
      <c r="T311" s="158" t="s">
        <v>46</v>
      </c>
      <c r="U311" s="150">
        <v>1001</v>
      </c>
      <c r="V311" s="159">
        <f t="shared" si="63"/>
        <v>1</v>
      </c>
      <c r="W311" s="160"/>
      <c r="X311" s="161"/>
      <c r="Y311" s="124">
        <v>1</v>
      </c>
      <c r="Z311" s="124" t="s">
        <v>587</v>
      </c>
      <c r="AA311" s="124"/>
      <c r="AB311" s="153">
        <v>10.5</v>
      </c>
      <c r="AC311" s="154">
        <f t="shared" si="65"/>
        <v>10.5</v>
      </c>
      <c r="AD311" s="161">
        <v>6</v>
      </c>
      <c r="AE311" s="162">
        <v>30</v>
      </c>
      <c r="AF311" s="163">
        <v>15</v>
      </c>
      <c r="AG311" s="167">
        <f t="shared" si="53"/>
        <v>0.1575</v>
      </c>
      <c r="AH311" s="168" t="str">
        <f t="shared" si="54"/>
        <v/>
      </c>
      <c r="AI311" s="168">
        <f t="shared" si="55"/>
        <v>0.315</v>
      </c>
      <c r="AJ311" s="167" t="str">
        <f t="shared" si="56"/>
        <v/>
      </c>
      <c r="AK311" s="167">
        <f t="shared" si="57"/>
        <v>98280</v>
      </c>
      <c r="AL311" s="167">
        <f t="shared" si="58"/>
        <v>98.28</v>
      </c>
      <c r="AM311" s="167" t="str">
        <f t="shared" si="59"/>
        <v/>
      </c>
    </row>
    <row r="312" spans="1:39" hidden="1" x14ac:dyDescent="0.25">
      <c r="A312" s="128" t="s">
        <v>588</v>
      </c>
      <c r="B312" s="128" t="s">
        <v>588</v>
      </c>
      <c r="C312" s="128" t="s">
        <v>588</v>
      </c>
      <c r="D312" s="128"/>
      <c r="E312" s="128">
        <v>1</v>
      </c>
      <c r="F312" s="128"/>
      <c r="G312" s="128">
        <v>0</v>
      </c>
      <c r="H312" s="128">
        <v>0</v>
      </c>
      <c r="I312" s="128">
        <v>0</v>
      </c>
      <c r="J312" s="165" t="s">
        <v>117</v>
      </c>
      <c r="K312" s="157" t="s">
        <v>617</v>
      </c>
      <c r="L312" s="148"/>
      <c r="M312" s="148">
        <v>6</v>
      </c>
      <c r="N312" s="157"/>
      <c r="O312" s="157"/>
      <c r="P312" s="157"/>
      <c r="Q312" s="157"/>
      <c r="R312" s="148"/>
      <c r="S312" s="149">
        <v>1000</v>
      </c>
      <c r="T312" s="158" t="s">
        <v>46</v>
      </c>
      <c r="U312" s="150">
        <v>1002</v>
      </c>
      <c r="V312" s="159">
        <f t="shared" si="63"/>
        <v>2</v>
      </c>
      <c r="W312" s="160"/>
      <c r="X312" s="161"/>
      <c r="Y312" s="124">
        <v>1</v>
      </c>
      <c r="Z312" s="124" t="s">
        <v>587</v>
      </c>
      <c r="AA312" s="124"/>
      <c r="AB312" s="153">
        <v>11.5</v>
      </c>
      <c r="AC312" s="154">
        <f t="shared" si="65"/>
        <v>11.5</v>
      </c>
      <c r="AD312" s="161">
        <v>6</v>
      </c>
      <c r="AE312" s="162">
        <v>30</v>
      </c>
      <c r="AF312" s="163">
        <v>6</v>
      </c>
      <c r="AG312" s="167">
        <f t="shared" si="53"/>
        <v>0.13800000000000001</v>
      </c>
      <c r="AH312" s="168" t="str">
        <f t="shared" si="54"/>
        <v/>
      </c>
      <c r="AI312" s="168">
        <f t="shared" si="55"/>
        <v>0.69</v>
      </c>
      <c r="AJ312" s="167" t="str">
        <f t="shared" si="56"/>
        <v/>
      </c>
      <c r="AK312" s="167">
        <f t="shared" si="57"/>
        <v>107640</v>
      </c>
      <c r="AL312" s="167">
        <f t="shared" si="58"/>
        <v>215.27999999999997</v>
      </c>
      <c r="AM312" s="167" t="str">
        <f t="shared" si="59"/>
        <v/>
      </c>
    </row>
    <row r="313" spans="1:39" hidden="1" x14ac:dyDescent="0.25">
      <c r="A313" s="128" t="s">
        <v>588</v>
      </c>
      <c r="B313" s="128" t="s">
        <v>588</v>
      </c>
      <c r="C313" s="128" t="s">
        <v>588</v>
      </c>
      <c r="D313" s="128"/>
      <c r="E313" s="128">
        <v>1</v>
      </c>
      <c r="F313" s="128"/>
      <c r="G313" s="128">
        <v>0</v>
      </c>
      <c r="H313" s="128">
        <v>0</v>
      </c>
      <c r="I313" s="128">
        <v>0</v>
      </c>
      <c r="J313" s="165" t="s">
        <v>117</v>
      </c>
      <c r="K313" s="157" t="s">
        <v>618</v>
      </c>
      <c r="L313" s="148"/>
      <c r="M313" s="148">
        <v>13</v>
      </c>
      <c r="N313" s="157"/>
      <c r="O313" s="157"/>
      <c r="P313" s="157"/>
      <c r="Q313" s="157"/>
      <c r="R313" s="148"/>
      <c r="S313" s="149">
        <v>1000</v>
      </c>
      <c r="T313" s="158" t="s">
        <v>46</v>
      </c>
      <c r="U313" s="150">
        <v>1001</v>
      </c>
      <c r="V313" s="159">
        <f t="shared" si="63"/>
        <v>1</v>
      </c>
      <c r="W313" s="160"/>
      <c r="X313" s="161"/>
      <c r="Y313" s="124">
        <v>1</v>
      </c>
      <c r="Z313" s="124" t="s">
        <v>587</v>
      </c>
      <c r="AA313" s="124"/>
      <c r="AB313" s="153">
        <v>8.5</v>
      </c>
      <c r="AC313" s="154">
        <f t="shared" si="65"/>
        <v>8.5</v>
      </c>
      <c r="AD313" s="161">
        <v>6</v>
      </c>
      <c r="AE313" s="162">
        <v>30</v>
      </c>
      <c r="AF313" s="163">
        <v>13</v>
      </c>
      <c r="AG313" s="167">
        <f t="shared" si="53"/>
        <v>0.11050000000000001</v>
      </c>
      <c r="AH313" s="168" t="str">
        <f t="shared" si="54"/>
        <v/>
      </c>
      <c r="AI313" s="168">
        <f t="shared" si="55"/>
        <v>0.255</v>
      </c>
      <c r="AJ313" s="167" t="str">
        <f t="shared" si="56"/>
        <v/>
      </c>
      <c r="AK313" s="167">
        <f t="shared" si="57"/>
        <v>79560</v>
      </c>
      <c r="AL313" s="167">
        <f t="shared" si="58"/>
        <v>79.56</v>
      </c>
      <c r="AM313" s="167" t="str">
        <f t="shared" si="59"/>
        <v/>
      </c>
    </row>
    <row r="314" spans="1:39" hidden="1" x14ac:dyDescent="0.25">
      <c r="A314" s="128" t="s">
        <v>588</v>
      </c>
      <c r="B314" s="128" t="s">
        <v>588</v>
      </c>
      <c r="C314" s="128" t="s">
        <v>588</v>
      </c>
      <c r="D314" s="128"/>
      <c r="E314" s="128">
        <v>1</v>
      </c>
      <c r="F314" s="128"/>
      <c r="G314" s="128">
        <v>0</v>
      </c>
      <c r="H314" s="128">
        <v>0</v>
      </c>
      <c r="I314" s="128">
        <v>0</v>
      </c>
      <c r="J314" s="165" t="s">
        <v>117</v>
      </c>
      <c r="K314" s="157" t="s">
        <v>619</v>
      </c>
      <c r="L314" s="148"/>
      <c r="M314" s="148">
        <v>10</v>
      </c>
      <c r="N314" s="157"/>
      <c r="O314" s="157"/>
      <c r="P314" s="157"/>
      <c r="Q314" s="157"/>
      <c r="R314" s="148"/>
      <c r="S314" s="149">
        <v>1000</v>
      </c>
      <c r="T314" s="158" t="s">
        <v>46</v>
      </c>
      <c r="U314" s="150">
        <v>1003</v>
      </c>
      <c r="V314" s="159">
        <f t="shared" si="63"/>
        <v>3</v>
      </c>
      <c r="W314" s="160"/>
      <c r="X314" s="161"/>
      <c r="Y314" s="124">
        <v>1</v>
      </c>
      <c r="Z314" s="124" t="s">
        <v>587</v>
      </c>
      <c r="AA314" s="124"/>
      <c r="AB314" s="153">
        <v>16.5</v>
      </c>
      <c r="AC314" s="154">
        <f t="shared" si="65"/>
        <v>16.5</v>
      </c>
      <c r="AD314" s="161">
        <v>6</v>
      </c>
      <c r="AE314" s="162">
        <v>30</v>
      </c>
      <c r="AF314" s="163">
        <v>10</v>
      </c>
      <c r="AG314" s="167">
        <f t="shared" si="53"/>
        <v>0.495</v>
      </c>
      <c r="AH314" s="168" t="str">
        <f t="shared" si="54"/>
        <v/>
      </c>
      <c r="AI314" s="168">
        <f t="shared" si="55"/>
        <v>1.4850000000000001</v>
      </c>
      <c r="AJ314" s="167" t="str">
        <f t="shared" si="56"/>
        <v/>
      </c>
      <c r="AK314" s="167">
        <f t="shared" si="57"/>
        <v>154440</v>
      </c>
      <c r="AL314" s="167">
        <f t="shared" si="58"/>
        <v>463.32</v>
      </c>
      <c r="AM314" s="167" t="str">
        <f t="shared" si="59"/>
        <v/>
      </c>
    </row>
    <row r="315" spans="1:39" hidden="1" x14ac:dyDescent="0.25">
      <c r="A315" s="128" t="s">
        <v>588</v>
      </c>
      <c r="B315" s="128" t="s">
        <v>588</v>
      </c>
      <c r="C315" s="128" t="s">
        <v>588</v>
      </c>
      <c r="D315" s="128"/>
      <c r="E315" s="128">
        <v>1</v>
      </c>
      <c r="F315" s="128"/>
      <c r="G315" s="128">
        <v>0</v>
      </c>
      <c r="H315" s="128">
        <v>0</v>
      </c>
      <c r="I315" s="128">
        <v>0</v>
      </c>
      <c r="J315" s="165" t="s">
        <v>117</v>
      </c>
      <c r="K315" s="157" t="s">
        <v>620</v>
      </c>
      <c r="L315" s="148"/>
      <c r="M315" s="148">
        <v>8</v>
      </c>
      <c r="N315" s="157"/>
      <c r="O315" s="157"/>
      <c r="P315" s="157"/>
      <c r="Q315" s="157"/>
      <c r="R315" s="148"/>
      <c r="S315" s="149">
        <v>1000</v>
      </c>
      <c r="T315" s="158" t="s">
        <v>46</v>
      </c>
      <c r="U315" s="150">
        <v>1001</v>
      </c>
      <c r="V315" s="159">
        <f t="shared" si="63"/>
        <v>1</v>
      </c>
      <c r="W315" s="160"/>
      <c r="X315" s="161"/>
      <c r="Y315" s="124">
        <v>1</v>
      </c>
      <c r="Z315" s="124" t="s">
        <v>587</v>
      </c>
      <c r="AA315" s="124"/>
      <c r="AB315" s="153">
        <v>7.5</v>
      </c>
      <c r="AC315" s="154">
        <f t="shared" si="65"/>
        <v>7.5</v>
      </c>
      <c r="AD315" s="161">
        <v>6</v>
      </c>
      <c r="AE315" s="162">
        <v>30</v>
      </c>
      <c r="AF315" s="163">
        <v>8</v>
      </c>
      <c r="AG315" s="167">
        <f t="shared" si="53"/>
        <v>0.06</v>
      </c>
      <c r="AH315" s="168" t="str">
        <f t="shared" si="54"/>
        <v/>
      </c>
      <c r="AI315" s="168">
        <f t="shared" si="55"/>
        <v>0.22499999999999998</v>
      </c>
      <c r="AJ315" s="167" t="str">
        <f t="shared" si="56"/>
        <v/>
      </c>
      <c r="AK315" s="167">
        <f t="shared" si="57"/>
        <v>70200</v>
      </c>
      <c r="AL315" s="167">
        <f t="shared" si="58"/>
        <v>70.199999999999989</v>
      </c>
      <c r="AM315" s="167" t="str">
        <f t="shared" si="59"/>
        <v/>
      </c>
    </row>
    <row r="316" spans="1:39" hidden="1" x14ac:dyDescent="0.25">
      <c r="A316" s="128" t="s">
        <v>588</v>
      </c>
      <c r="B316" s="128" t="s">
        <v>588</v>
      </c>
      <c r="C316" s="128" t="s">
        <v>588</v>
      </c>
      <c r="D316" s="128"/>
      <c r="E316" s="128">
        <v>1</v>
      </c>
      <c r="F316" s="128"/>
      <c r="G316" s="128">
        <v>0</v>
      </c>
      <c r="H316" s="128">
        <v>0</v>
      </c>
      <c r="I316" s="128">
        <v>0</v>
      </c>
      <c r="J316" s="165" t="s">
        <v>117</v>
      </c>
      <c r="K316" s="157" t="s">
        <v>621</v>
      </c>
      <c r="L316" s="148"/>
      <c r="M316" s="148">
        <v>5</v>
      </c>
      <c r="N316" s="157"/>
      <c r="O316" s="157"/>
      <c r="P316" s="157"/>
      <c r="Q316" s="157"/>
      <c r="R316" s="148"/>
      <c r="S316" s="149">
        <v>650</v>
      </c>
      <c r="T316" s="158" t="s">
        <v>46</v>
      </c>
      <c r="U316" s="150">
        <v>654</v>
      </c>
      <c r="V316" s="159">
        <f t="shared" si="63"/>
        <v>4</v>
      </c>
      <c r="W316" s="160"/>
      <c r="X316" s="161"/>
      <c r="Y316" s="124">
        <v>1</v>
      </c>
      <c r="Z316" s="124" t="s">
        <v>587</v>
      </c>
      <c r="AA316" s="124"/>
      <c r="AB316" s="153">
        <v>12.5</v>
      </c>
      <c r="AC316" s="154">
        <f t="shared" si="65"/>
        <v>12.5</v>
      </c>
      <c r="AD316" s="161">
        <v>6</v>
      </c>
      <c r="AE316" s="162">
        <v>30</v>
      </c>
      <c r="AF316" s="163">
        <v>5</v>
      </c>
      <c r="AG316" s="167">
        <f t="shared" si="53"/>
        <v>0.38461538461538464</v>
      </c>
      <c r="AH316" s="168" t="str">
        <f t="shared" si="54"/>
        <v/>
      </c>
      <c r="AI316" s="168">
        <f t="shared" si="55"/>
        <v>2.3076923076923079</v>
      </c>
      <c r="AJ316" s="167" t="str">
        <f t="shared" si="56"/>
        <v/>
      </c>
      <c r="AK316" s="167">
        <f t="shared" si="57"/>
        <v>117000</v>
      </c>
      <c r="AL316" s="167">
        <f t="shared" si="58"/>
        <v>720</v>
      </c>
      <c r="AM316" s="167" t="str">
        <f t="shared" si="59"/>
        <v/>
      </c>
    </row>
    <row r="317" spans="1:39" hidden="1" x14ac:dyDescent="0.25">
      <c r="A317" s="128" t="s">
        <v>622</v>
      </c>
      <c r="B317" s="128" t="s">
        <v>623</v>
      </c>
      <c r="C317" s="128" t="s">
        <v>624</v>
      </c>
      <c r="D317" s="128"/>
      <c r="E317" s="128"/>
      <c r="F317" s="128">
        <v>1</v>
      </c>
      <c r="G317" s="128">
        <v>1</v>
      </c>
      <c r="H317" s="128">
        <v>1</v>
      </c>
      <c r="I317" s="128">
        <v>0</v>
      </c>
      <c r="J317" s="164" t="s">
        <v>154</v>
      </c>
      <c r="K317" s="157" t="s">
        <v>625</v>
      </c>
      <c r="L317" s="148"/>
      <c r="M317" s="148"/>
      <c r="N317" s="157"/>
      <c r="O317" s="157"/>
      <c r="P317" s="157"/>
      <c r="Q317" s="157">
        <v>1</v>
      </c>
      <c r="R317" s="148"/>
      <c r="S317" s="149">
        <v>1000</v>
      </c>
      <c r="T317" s="158" t="s">
        <v>46</v>
      </c>
      <c r="U317" s="150">
        <v>993</v>
      </c>
      <c r="V317" s="159">
        <f t="shared" si="63"/>
        <v>-7</v>
      </c>
      <c r="W317" s="160"/>
      <c r="X317" s="161"/>
      <c r="Y317" s="124">
        <v>1</v>
      </c>
      <c r="Z317" s="124" t="s">
        <v>587</v>
      </c>
      <c r="AA317" s="124"/>
      <c r="AB317" s="153">
        <v>59.95</v>
      </c>
      <c r="AC317" s="154">
        <f t="shared" si="65"/>
        <v>59.95</v>
      </c>
      <c r="AD317" s="161">
        <v>1</v>
      </c>
      <c r="AE317" s="162">
        <v>1700</v>
      </c>
      <c r="AF317" s="163">
        <v>1700</v>
      </c>
      <c r="AG317" s="167" t="str">
        <f t="shared" si="53"/>
        <v/>
      </c>
      <c r="AH317" s="168">
        <f t="shared" si="54"/>
        <v>-713.40500000000009</v>
      </c>
      <c r="AI317" s="168" t="str">
        <f t="shared" si="55"/>
        <v/>
      </c>
      <c r="AJ317" s="167">
        <f t="shared" si="56"/>
        <v>-713.40500000000009</v>
      </c>
      <c r="AK317" s="167">
        <f t="shared" si="57"/>
        <v>5299580</v>
      </c>
      <c r="AL317" s="167" t="str">
        <f t="shared" si="58"/>
        <v/>
      </c>
      <c r="AM317" s="167">
        <f t="shared" si="59"/>
        <v>37097.060000000005</v>
      </c>
    </row>
    <row r="318" spans="1:39" hidden="1" x14ac:dyDescent="0.25">
      <c r="A318" s="128" t="s">
        <v>626</v>
      </c>
      <c r="B318" s="128" t="s">
        <v>623</v>
      </c>
      <c r="C318" s="128" t="s">
        <v>627</v>
      </c>
      <c r="D318" s="128"/>
      <c r="E318" s="128"/>
      <c r="F318" s="128">
        <v>1</v>
      </c>
      <c r="G318" s="128">
        <v>0</v>
      </c>
      <c r="H318" s="128">
        <v>0</v>
      </c>
      <c r="I318" s="128">
        <v>0</v>
      </c>
      <c r="J318" s="164" t="s">
        <v>136</v>
      </c>
      <c r="K318" s="157" t="s">
        <v>628</v>
      </c>
      <c r="L318" s="148"/>
      <c r="M318" s="148"/>
      <c r="N318" s="157">
        <v>1</v>
      </c>
      <c r="O318" s="157"/>
      <c r="P318" s="157"/>
      <c r="Q318" s="157"/>
      <c r="R318" s="148"/>
      <c r="S318" s="149">
        <v>120</v>
      </c>
      <c r="T318" s="158" t="s">
        <v>46</v>
      </c>
      <c r="U318" s="150">
        <v>125</v>
      </c>
      <c r="V318" s="159">
        <f t="shared" si="63"/>
        <v>5</v>
      </c>
      <c r="W318" s="160"/>
      <c r="X318" s="161"/>
      <c r="Y318" s="124">
        <v>1</v>
      </c>
      <c r="Z318" s="124" t="s">
        <v>587</v>
      </c>
      <c r="AA318" s="124"/>
      <c r="AB318" s="153">
        <v>18.5</v>
      </c>
      <c r="AC318" s="154">
        <f t="shared" si="65"/>
        <v>18.5</v>
      </c>
      <c r="AD318" s="161">
        <v>1</v>
      </c>
      <c r="AE318" s="162">
        <v>1500</v>
      </c>
      <c r="AF318" s="163">
        <v>1500</v>
      </c>
      <c r="AG318" s="167">
        <f t="shared" si="53"/>
        <v>1156.25</v>
      </c>
      <c r="AH318" s="168" t="str">
        <f t="shared" si="54"/>
        <v/>
      </c>
      <c r="AI318" s="168">
        <f t="shared" si="55"/>
        <v>1156.25</v>
      </c>
      <c r="AJ318" s="167" t="str">
        <f t="shared" si="56"/>
        <v/>
      </c>
      <c r="AK318" s="167">
        <f t="shared" si="57"/>
        <v>1443000</v>
      </c>
      <c r="AL318" s="167">
        <f t="shared" si="58"/>
        <v>60125</v>
      </c>
      <c r="AM318" s="167" t="str">
        <f t="shared" si="59"/>
        <v/>
      </c>
    </row>
    <row r="319" spans="1:39" hidden="1" x14ac:dyDescent="0.25">
      <c r="A319" s="128" t="s">
        <v>588</v>
      </c>
      <c r="B319" s="128" t="s">
        <v>588</v>
      </c>
      <c r="C319" s="128" t="s">
        <v>588</v>
      </c>
      <c r="D319" s="128"/>
      <c r="E319" s="128"/>
      <c r="F319" s="128">
        <v>1</v>
      </c>
      <c r="G319" s="128">
        <v>0</v>
      </c>
      <c r="H319" s="128">
        <v>0</v>
      </c>
      <c r="I319" s="128">
        <v>0</v>
      </c>
      <c r="J319" s="164" t="s">
        <v>90</v>
      </c>
      <c r="K319" s="157" t="s">
        <v>629</v>
      </c>
      <c r="L319" s="148"/>
      <c r="M319" s="148"/>
      <c r="N319" s="157">
        <v>1</v>
      </c>
      <c r="O319" s="157"/>
      <c r="P319" s="157"/>
      <c r="Q319" s="157"/>
      <c r="R319" s="148"/>
      <c r="S319" s="149">
        <v>500</v>
      </c>
      <c r="T319" s="158" t="s">
        <v>202</v>
      </c>
      <c r="U319" s="150">
        <v>500.3</v>
      </c>
      <c r="V319" s="159">
        <f t="shared" si="63"/>
        <v>0.30000000000001137</v>
      </c>
      <c r="W319" s="160"/>
      <c r="X319" s="161"/>
      <c r="Y319" s="124">
        <v>1</v>
      </c>
      <c r="Z319" s="124" t="s">
        <v>587</v>
      </c>
      <c r="AA319" s="124"/>
      <c r="AB319" s="153">
        <v>35</v>
      </c>
      <c r="AC319" s="154">
        <f t="shared" si="65"/>
        <v>35</v>
      </c>
      <c r="AD319" s="161">
        <v>1</v>
      </c>
      <c r="AE319" s="162">
        <v>2000</v>
      </c>
      <c r="AF319" s="163">
        <v>2000</v>
      </c>
      <c r="AG319" s="167">
        <f t="shared" si="53"/>
        <v>42.000000000001599</v>
      </c>
      <c r="AH319" s="168" t="str">
        <f t="shared" si="54"/>
        <v/>
      </c>
      <c r="AI319" s="168">
        <f t="shared" si="55"/>
        <v>42.000000000001599</v>
      </c>
      <c r="AJ319" s="167" t="str">
        <f t="shared" si="56"/>
        <v/>
      </c>
      <c r="AK319" s="167">
        <f t="shared" si="57"/>
        <v>3640000</v>
      </c>
      <c r="AL319" s="167">
        <f t="shared" si="58"/>
        <v>2184.0000000000832</v>
      </c>
      <c r="AM319" s="167" t="str">
        <f t="shared" si="59"/>
        <v/>
      </c>
    </row>
    <row r="320" spans="1:39" hidden="1" x14ac:dyDescent="0.25">
      <c r="A320" s="128" t="s">
        <v>588</v>
      </c>
      <c r="B320" s="128" t="s">
        <v>588</v>
      </c>
      <c r="C320" s="128" t="s">
        <v>588</v>
      </c>
      <c r="D320" s="128"/>
      <c r="E320" s="128"/>
      <c r="F320" s="128">
        <v>1</v>
      </c>
      <c r="G320" s="128">
        <v>0</v>
      </c>
      <c r="H320" s="128">
        <v>0</v>
      </c>
      <c r="I320" s="128">
        <v>0</v>
      </c>
      <c r="J320" s="164" t="s">
        <v>90</v>
      </c>
      <c r="K320" s="157" t="s">
        <v>629</v>
      </c>
      <c r="L320" s="148"/>
      <c r="M320" s="148"/>
      <c r="N320" s="157">
        <v>1</v>
      </c>
      <c r="O320" s="157"/>
      <c r="P320" s="157"/>
      <c r="Q320" s="157"/>
      <c r="R320" s="148"/>
      <c r="S320" s="149">
        <v>500</v>
      </c>
      <c r="T320" s="158" t="s">
        <v>202</v>
      </c>
      <c r="U320" s="150">
        <v>504</v>
      </c>
      <c r="V320" s="159">
        <f t="shared" si="63"/>
        <v>4</v>
      </c>
      <c r="W320" s="160"/>
      <c r="X320" s="161"/>
      <c r="Y320" s="124">
        <v>1</v>
      </c>
      <c r="Z320" s="124" t="s">
        <v>587</v>
      </c>
      <c r="AA320" s="124"/>
      <c r="AB320" s="153">
        <v>35</v>
      </c>
      <c r="AC320" s="154">
        <f t="shared" si="65"/>
        <v>35</v>
      </c>
      <c r="AD320" s="161">
        <v>1</v>
      </c>
      <c r="AE320" s="162">
        <v>2000</v>
      </c>
      <c r="AF320" s="163">
        <v>2000</v>
      </c>
      <c r="AG320" s="167">
        <f t="shared" si="53"/>
        <v>560</v>
      </c>
      <c r="AH320" s="168" t="str">
        <f t="shared" si="54"/>
        <v/>
      </c>
      <c r="AI320" s="168">
        <f t="shared" si="55"/>
        <v>560</v>
      </c>
      <c r="AJ320" s="167" t="str">
        <f t="shared" si="56"/>
        <v/>
      </c>
      <c r="AK320" s="167">
        <f t="shared" si="57"/>
        <v>3640000</v>
      </c>
      <c r="AL320" s="167">
        <f t="shared" si="58"/>
        <v>29120</v>
      </c>
      <c r="AM320" s="167" t="str">
        <f t="shared" si="59"/>
        <v/>
      </c>
    </row>
    <row r="321" spans="1:39" hidden="1" x14ac:dyDescent="0.25">
      <c r="A321" s="128" t="s">
        <v>588</v>
      </c>
      <c r="B321" s="128" t="s">
        <v>588</v>
      </c>
      <c r="C321" s="128" t="s">
        <v>588</v>
      </c>
      <c r="D321" s="128"/>
      <c r="E321" s="128"/>
      <c r="F321" s="128">
        <v>1</v>
      </c>
      <c r="G321" s="128">
        <v>0</v>
      </c>
      <c r="H321" s="128">
        <v>0</v>
      </c>
      <c r="I321" s="128">
        <v>0</v>
      </c>
      <c r="J321" s="164" t="s">
        <v>90</v>
      </c>
      <c r="K321" s="157" t="s">
        <v>629</v>
      </c>
      <c r="L321" s="148"/>
      <c r="M321" s="148"/>
      <c r="N321" s="157">
        <v>1</v>
      </c>
      <c r="O321" s="157"/>
      <c r="P321" s="157"/>
      <c r="Q321" s="157"/>
      <c r="R321" s="148"/>
      <c r="S321" s="149">
        <v>1000</v>
      </c>
      <c r="T321" s="158" t="s">
        <v>202</v>
      </c>
      <c r="U321" s="150">
        <v>1009</v>
      </c>
      <c r="V321" s="159">
        <f t="shared" si="63"/>
        <v>9</v>
      </c>
      <c r="W321" s="160"/>
      <c r="X321" s="161"/>
      <c r="Y321" s="124">
        <v>1</v>
      </c>
      <c r="Z321" s="124" t="s">
        <v>587</v>
      </c>
      <c r="AA321" s="124"/>
      <c r="AB321" s="153">
        <v>79</v>
      </c>
      <c r="AC321" s="154">
        <f t="shared" si="65"/>
        <v>79</v>
      </c>
      <c r="AD321" s="161">
        <v>1</v>
      </c>
      <c r="AE321" s="162">
        <v>1500</v>
      </c>
      <c r="AF321" s="163">
        <v>1500</v>
      </c>
      <c r="AG321" s="167">
        <f t="shared" si="53"/>
        <v>1066.5</v>
      </c>
      <c r="AH321" s="168" t="str">
        <f t="shared" si="54"/>
        <v/>
      </c>
      <c r="AI321" s="168">
        <f t="shared" si="55"/>
        <v>1066.5</v>
      </c>
      <c r="AJ321" s="167" t="str">
        <f t="shared" si="56"/>
        <v/>
      </c>
      <c r="AK321" s="167">
        <f t="shared" si="57"/>
        <v>6162000</v>
      </c>
      <c r="AL321" s="167">
        <f t="shared" si="58"/>
        <v>55458</v>
      </c>
      <c r="AM321" s="167" t="str">
        <f t="shared" si="59"/>
        <v/>
      </c>
    </row>
    <row r="322" spans="1:39" hidden="1" x14ac:dyDescent="0.25">
      <c r="A322" s="128" t="s">
        <v>630</v>
      </c>
      <c r="B322" s="128"/>
      <c r="C322" s="128"/>
      <c r="D322" s="128"/>
      <c r="E322" s="128"/>
      <c r="F322" s="128"/>
      <c r="G322" s="128"/>
      <c r="H322" s="128"/>
      <c r="I322" s="128"/>
      <c r="J322" s="164"/>
      <c r="K322" s="157"/>
      <c r="L322" s="148"/>
      <c r="M322" s="148"/>
      <c r="N322" s="157"/>
      <c r="O322" s="157"/>
      <c r="P322" s="157"/>
      <c r="Q322" s="157"/>
      <c r="R322" s="148"/>
      <c r="S322" s="149">
        <v>1</v>
      </c>
      <c r="T322" s="158" t="s">
        <v>46</v>
      </c>
      <c r="U322" s="150"/>
      <c r="V322" s="159">
        <f t="shared" si="63"/>
        <v>-1</v>
      </c>
      <c r="W322" s="160"/>
      <c r="X322" s="161"/>
      <c r="Y322" s="124"/>
      <c r="Z322" s="124"/>
      <c r="AA322" s="124"/>
      <c r="AB322" s="153"/>
      <c r="AC322" s="154">
        <f t="shared" si="65"/>
        <v>0</v>
      </c>
      <c r="AD322" s="161"/>
      <c r="AE322" s="162"/>
      <c r="AF322" s="163"/>
      <c r="AG322" s="167" t="str">
        <f t="shared" si="53"/>
        <v/>
      </c>
      <c r="AH322" s="168">
        <f t="shared" si="54"/>
        <v>0</v>
      </c>
      <c r="AI322" s="168" t="str">
        <f t="shared" si="55"/>
        <v/>
      </c>
      <c r="AJ322" s="167">
        <f t="shared" si="56"/>
        <v>0</v>
      </c>
      <c r="AK322" s="167">
        <f t="shared" si="57"/>
        <v>0</v>
      </c>
      <c r="AL322" s="167" t="str">
        <f t="shared" si="58"/>
        <v/>
      </c>
      <c r="AM322" s="167">
        <f t="shared" si="59"/>
        <v>0</v>
      </c>
    </row>
    <row r="323" spans="1:39" hidden="1" x14ac:dyDescent="0.25">
      <c r="A323" s="128" t="s">
        <v>631</v>
      </c>
      <c r="B323" s="128" t="s">
        <v>201</v>
      </c>
      <c r="C323" s="128" t="s">
        <v>632</v>
      </c>
      <c r="D323" s="128"/>
      <c r="E323" s="128">
        <v>1</v>
      </c>
      <c r="F323" s="128"/>
      <c r="G323" s="128">
        <v>0</v>
      </c>
      <c r="H323" s="128">
        <v>0</v>
      </c>
      <c r="I323" s="128">
        <v>0</v>
      </c>
      <c r="J323" s="164" t="s">
        <v>154</v>
      </c>
      <c r="K323" s="157" t="s">
        <v>633</v>
      </c>
      <c r="L323" s="148"/>
      <c r="M323" s="148"/>
      <c r="N323" s="157"/>
      <c r="O323" s="157">
        <v>1</v>
      </c>
      <c r="P323" s="157"/>
      <c r="Q323" s="157"/>
      <c r="R323" s="148"/>
      <c r="S323" s="149">
        <v>5000</v>
      </c>
      <c r="T323" s="158" t="s">
        <v>46</v>
      </c>
      <c r="U323" s="150">
        <v>5130</v>
      </c>
      <c r="V323" s="159">
        <f t="shared" si="63"/>
        <v>130</v>
      </c>
      <c r="W323" s="160"/>
      <c r="X323" s="161"/>
      <c r="Y323" s="124">
        <v>1</v>
      </c>
      <c r="Z323" s="124" t="s">
        <v>587</v>
      </c>
      <c r="AA323" s="124"/>
      <c r="AB323" s="153">
        <v>300</v>
      </c>
      <c r="AC323" s="154">
        <f t="shared" si="65"/>
        <v>300</v>
      </c>
      <c r="AD323" s="161">
        <v>7</v>
      </c>
      <c r="AE323" s="162">
        <v>498</v>
      </c>
      <c r="AF323" s="163">
        <v>498</v>
      </c>
      <c r="AG323" s="167">
        <f t="shared" si="53"/>
        <v>3884.4</v>
      </c>
      <c r="AH323" s="168" t="str">
        <f t="shared" si="54"/>
        <v/>
      </c>
      <c r="AI323" s="168">
        <f t="shared" si="55"/>
        <v>3884.4</v>
      </c>
      <c r="AJ323" s="167" t="str">
        <f t="shared" si="56"/>
        <v/>
      </c>
      <c r="AK323" s="167">
        <f t="shared" si="57"/>
        <v>54381600</v>
      </c>
      <c r="AL323" s="167">
        <f t="shared" si="58"/>
        <v>1413921.5999999999</v>
      </c>
      <c r="AM323" s="167" t="str">
        <f t="shared" si="59"/>
        <v/>
      </c>
    </row>
    <row r="324" spans="1:39" hidden="1" x14ac:dyDescent="0.25">
      <c r="A324" s="128" t="s">
        <v>634</v>
      </c>
      <c r="B324" s="128" t="s">
        <v>201</v>
      </c>
      <c r="C324" s="128" t="s">
        <v>635</v>
      </c>
      <c r="D324" s="128"/>
      <c r="E324" s="128">
        <v>1</v>
      </c>
      <c r="F324" s="128"/>
      <c r="G324" s="128">
        <v>1</v>
      </c>
      <c r="H324" s="128">
        <v>1</v>
      </c>
      <c r="I324" s="128">
        <v>0</v>
      </c>
      <c r="J324" s="147" t="s">
        <v>156</v>
      </c>
      <c r="K324" s="157" t="s">
        <v>636</v>
      </c>
      <c r="L324" s="148"/>
      <c r="M324" s="148"/>
      <c r="N324" s="157"/>
      <c r="O324" s="157"/>
      <c r="P324" s="157">
        <v>1</v>
      </c>
      <c r="Q324" s="157"/>
      <c r="R324" s="148"/>
      <c r="S324" s="149">
        <v>380</v>
      </c>
      <c r="T324" s="158" t="s">
        <v>46</v>
      </c>
      <c r="U324" s="150">
        <v>384</v>
      </c>
      <c r="V324" s="159">
        <f t="shared" si="63"/>
        <v>4</v>
      </c>
      <c r="W324" s="160">
        <v>6</v>
      </c>
      <c r="X324" s="161">
        <v>2</v>
      </c>
      <c r="Y324" s="124">
        <v>1</v>
      </c>
      <c r="Z324" s="124" t="s">
        <v>587</v>
      </c>
      <c r="AA324" s="124"/>
      <c r="AB324" s="153">
        <v>59</v>
      </c>
      <c r="AC324" s="154">
        <f t="shared" si="65"/>
        <v>59</v>
      </c>
      <c r="AD324" s="161">
        <v>7</v>
      </c>
      <c r="AE324" s="162">
        <v>3150</v>
      </c>
      <c r="AF324" s="163">
        <v>3150</v>
      </c>
      <c r="AG324" s="167">
        <f t="shared" si="53"/>
        <v>1956.3157894736844</v>
      </c>
      <c r="AH324" s="168" t="str">
        <f t="shared" si="54"/>
        <v/>
      </c>
      <c r="AI324" s="168">
        <f t="shared" si="55"/>
        <v>1956.3157894736844</v>
      </c>
      <c r="AJ324" s="167" t="str">
        <f t="shared" si="56"/>
        <v/>
      </c>
      <c r="AK324" s="167">
        <f t="shared" si="57"/>
        <v>67649400</v>
      </c>
      <c r="AL324" s="167">
        <f t="shared" si="58"/>
        <v>712098.94736842113</v>
      </c>
      <c r="AM324" s="167" t="str">
        <f t="shared" si="59"/>
        <v/>
      </c>
    </row>
    <row r="325" spans="1:39" hidden="1" x14ac:dyDescent="0.25">
      <c r="A325" s="128" t="s">
        <v>634</v>
      </c>
      <c r="B325" s="128" t="s">
        <v>201</v>
      </c>
      <c r="C325" s="128" t="s">
        <v>637</v>
      </c>
      <c r="D325" s="128"/>
      <c r="E325" s="128">
        <v>1</v>
      </c>
      <c r="F325" s="128"/>
      <c r="G325" s="128">
        <v>0</v>
      </c>
      <c r="H325" s="128">
        <v>0</v>
      </c>
      <c r="I325" s="128">
        <v>0</v>
      </c>
      <c r="J325" s="147" t="s">
        <v>156</v>
      </c>
      <c r="K325" s="157" t="s">
        <v>636</v>
      </c>
      <c r="L325" s="148"/>
      <c r="M325" s="148"/>
      <c r="N325" s="157"/>
      <c r="O325" s="157"/>
      <c r="P325" s="157">
        <v>1</v>
      </c>
      <c r="Q325" s="157"/>
      <c r="R325" s="148"/>
      <c r="S325" s="149">
        <v>380</v>
      </c>
      <c r="T325" s="158" t="s">
        <v>46</v>
      </c>
      <c r="U325" s="150">
        <v>390</v>
      </c>
      <c r="V325" s="159">
        <f t="shared" si="63"/>
        <v>10</v>
      </c>
      <c r="W325" s="160"/>
      <c r="X325" s="161"/>
      <c r="Y325" s="124">
        <v>1</v>
      </c>
      <c r="Z325" s="124" t="s">
        <v>587</v>
      </c>
      <c r="AA325" s="124"/>
      <c r="AB325" s="153">
        <v>59</v>
      </c>
      <c r="AC325" s="154">
        <f t="shared" si="65"/>
        <v>59</v>
      </c>
      <c r="AD325" s="161">
        <v>7</v>
      </c>
      <c r="AE325" s="162">
        <v>3150</v>
      </c>
      <c r="AF325" s="163">
        <v>3150</v>
      </c>
      <c r="AG325" s="167">
        <f t="shared" si="53"/>
        <v>4890.7894736842109</v>
      </c>
      <c r="AH325" s="168" t="str">
        <f t="shared" si="54"/>
        <v/>
      </c>
      <c r="AI325" s="168">
        <f t="shared" si="55"/>
        <v>4890.7894736842109</v>
      </c>
      <c r="AJ325" s="167" t="str">
        <f t="shared" si="56"/>
        <v/>
      </c>
      <c r="AK325" s="167">
        <f t="shared" si="57"/>
        <v>67649400</v>
      </c>
      <c r="AL325" s="167">
        <f t="shared" si="58"/>
        <v>1780247.3684210526</v>
      </c>
      <c r="AM325" s="167" t="str">
        <f t="shared" si="59"/>
        <v/>
      </c>
    </row>
    <row r="326" spans="1:39" x14ac:dyDescent="0.25">
      <c r="A326" s="128" t="s">
        <v>638</v>
      </c>
      <c r="B326" s="128" t="s">
        <v>203</v>
      </c>
      <c r="C326" s="128" t="s">
        <v>639</v>
      </c>
      <c r="D326" s="128"/>
      <c r="E326" s="128">
        <v>1</v>
      </c>
      <c r="F326" s="128"/>
      <c r="G326" s="128">
        <v>0</v>
      </c>
      <c r="H326" s="128">
        <v>0</v>
      </c>
      <c r="I326" s="128">
        <v>0</v>
      </c>
      <c r="J326" s="147" t="s">
        <v>589</v>
      </c>
      <c r="K326" s="157" t="s">
        <v>640</v>
      </c>
      <c r="L326" s="148"/>
      <c r="M326" s="148">
        <v>75</v>
      </c>
      <c r="N326" s="157"/>
      <c r="O326" s="157"/>
      <c r="P326" s="157"/>
      <c r="Q326" s="157"/>
      <c r="R326" s="148"/>
      <c r="S326" s="149">
        <v>600</v>
      </c>
      <c r="T326" s="158" t="s">
        <v>46</v>
      </c>
      <c r="U326" s="150">
        <v>636</v>
      </c>
      <c r="V326" s="25">
        <f>-S326+U326</f>
        <v>36</v>
      </c>
      <c r="W326" s="160"/>
      <c r="X326" s="161"/>
      <c r="Y326" s="124">
        <v>1</v>
      </c>
      <c r="Z326" s="124" t="s">
        <v>587</v>
      </c>
      <c r="AA326" s="124"/>
      <c r="AB326" s="153">
        <v>9.5</v>
      </c>
      <c r="AC326" s="154">
        <f t="shared" si="65"/>
        <v>9.5</v>
      </c>
      <c r="AD326" s="161">
        <v>7</v>
      </c>
      <c r="AE326" s="162">
        <v>200</v>
      </c>
      <c r="AF326" s="163">
        <v>75</v>
      </c>
      <c r="AG326" s="167">
        <f t="shared" si="53"/>
        <v>42.750000000000007</v>
      </c>
      <c r="AH326" s="168" t="str">
        <f t="shared" si="54"/>
        <v/>
      </c>
      <c r="AI326" s="168">
        <f t="shared" si="55"/>
        <v>114.00000000000001</v>
      </c>
      <c r="AJ326" s="167" t="str">
        <f t="shared" si="56"/>
        <v/>
      </c>
      <c r="AK326" s="167">
        <f t="shared" si="57"/>
        <v>691600</v>
      </c>
      <c r="AL326" s="167">
        <f t="shared" si="58"/>
        <v>41496.000000000007</v>
      </c>
      <c r="AM326" s="167" t="str">
        <f t="shared" si="59"/>
        <v/>
      </c>
    </row>
    <row r="327" spans="1:39" hidden="1" x14ac:dyDescent="0.25">
      <c r="A327" s="128" t="s">
        <v>641</v>
      </c>
      <c r="B327" s="128" t="s">
        <v>623</v>
      </c>
      <c r="C327" s="128" t="s">
        <v>642</v>
      </c>
      <c r="D327" s="128"/>
      <c r="E327" s="128"/>
      <c r="F327" s="128">
        <v>1</v>
      </c>
      <c r="G327" s="128">
        <v>1</v>
      </c>
      <c r="H327" s="128">
        <v>1</v>
      </c>
      <c r="I327" s="128">
        <v>0</v>
      </c>
      <c r="J327" s="164" t="s">
        <v>154</v>
      </c>
      <c r="K327" s="157" t="s">
        <v>643</v>
      </c>
      <c r="L327" s="148"/>
      <c r="M327" s="148"/>
      <c r="N327" s="157"/>
      <c r="O327" s="157"/>
      <c r="P327" s="157">
        <v>1</v>
      </c>
      <c r="Q327" s="157"/>
      <c r="R327" s="148"/>
      <c r="S327" s="149">
        <v>170</v>
      </c>
      <c r="T327" s="158" t="s">
        <v>46</v>
      </c>
      <c r="U327" s="150">
        <v>176</v>
      </c>
      <c r="V327" s="159">
        <f t="shared" si="63"/>
        <v>6</v>
      </c>
      <c r="W327" s="160"/>
      <c r="X327" s="161">
        <v>3</v>
      </c>
      <c r="Y327" s="124">
        <v>1</v>
      </c>
      <c r="Z327" s="124" t="s">
        <v>587</v>
      </c>
      <c r="AA327" s="124"/>
      <c r="AB327" s="153">
        <v>49</v>
      </c>
      <c r="AC327" s="154">
        <f t="shared" si="65"/>
        <v>49</v>
      </c>
      <c r="AD327" s="161">
        <v>1</v>
      </c>
      <c r="AE327" s="162">
        <v>2500</v>
      </c>
      <c r="AF327" s="163">
        <v>2500</v>
      </c>
      <c r="AG327" s="167">
        <f t="shared" si="53"/>
        <v>4323.5294117647054</v>
      </c>
      <c r="AH327" s="168" t="str">
        <f t="shared" si="54"/>
        <v/>
      </c>
      <c r="AI327" s="168">
        <f t="shared" si="55"/>
        <v>4323.5294117647054</v>
      </c>
      <c r="AJ327" s="167" t="str">
        <f t="shared" si="56"/>
        <v/>
      </c>
      <c r="AK327" s="167">
        <f t="shared" si="57"/>
        <v>6370000</v>
      </c>
      <c r="AL327" s="167">
        <f t="shared" si="58"/>
        <v>224823.52941176467</v>
      </c>
      <c r="AM327" s="167" t="str">
        <f t="shared" si="59"/>
        <v/>
      </c>
    </row>
    <row r="328" spans="1:39" hidden="1" x14ac:dyDescent="0.25">
      <c r="A328" s="128" t="s">
        <v>622</v>
      </c>
      <c r="B328" s="128" t="s">
        <v>623</v>
      </c>
      <c r="C328" s="128" t="s">
        <v>644</v>
      </c>
      <c r="D328" s="128"/>
      <c r="E328" s="128"/>
      <c r="F328" s="128">
        <v>1</v>
      </c>
      <c r="G328" s="128">
        <v>0</v>
      </c>
      <c r="H328" s="128">
        <v>0</v>
      </c>
      <c r="I328" s="128">
        <v>0</v>
      </c>
      <c r="J328" s="164" t="s">
        <v>154</v>
      </c>
      <c r="K328" s="157" t="s">
        <v>645</v>
      </c>
      <c r="L328" s="148"/>
      <c r="M328" s="148"/>
      <c r="N328" s="157">
        <v>1</v>
      </c>
      <c r="O328" s="157"/>
      <c r="P328" s="157"/>
      <c r="Q328" s="157"/>
      <c r="R328" s="148"/>
      <c r="S328" s="149">
        <v>800</v>
      </c>
      <c r="T328" s="158" t="s">
        <v>46</v>
      </c>
      <c r="U328" s="150">
        <v>828</v>
      </c>
      <c r="V328" s="159">
        <f t="shared" si="63"/>
        <v>28</v>
      </c>
      <c r="W328" s="160"/>
      <c r="X328" s="161"/>
      <c r="Y328" s="124">
        <v>1</v>
      </c>
      <c r="Z328" s="124" t="s">
        <v>587</v>
      </c>
      <c r="AA328" s="124"/>
      <c r="AB328" s="153">
        <v>89</v>
      </c>
      <c r="AC328" s="154">
        <f t="shared" si="65"/>
        <v>89</v>
      </c>
      <c r="AD328" s="161">
        <v>1</v>
      </c>
      <c r="AE328" s="162">
        <v>3500</v>
      </c>
      <c r="AF328" s="163">
        <v>3500</v>
      </c>
      <c r="AG328" s="167">
        <f t="shared" ref="AG328:AG376" si="66">IF((-S328+U328)&lt;0,"",(AC328/S328)*V328*AF328)</f>
        <v>10902.5</v>
      </c>
      <c r="AH328" s="168" t="str">
        <f t="shared" ref="AH328:AH376" si="67">IF((-S328+U328)&gt;0,"",(AC328/S328)*V328*AF328)</f>
        <v/>
      </c>
      <c r="AI328" s="168">
        <f t="shared" ref="AI328:AI376" si="68">IF((-S328+U328)&lt;0,"",(AC328/S328)*V328*AE328)</f>
        <v>10902.5</v>
      </c>
      <c r="AJ328" s="167" t="str">
        <f t="shared" ref="AJ328:AJ376" si="69">IF((-S328+U328)&gt;0,"",(AC328/S328)*V328*AE328)</f>
        <v/>
      </c>
      <c r="AK328" s="167">
        <f t="shared" ref="AK328:AK376" si="70">AC328*AE328*AD328*52</f>
        <v>16198000</v>
      </c>
      <c r="AL328" s="167">
        <f t="shared" ref="AL328:AL376" si="71">IF((-S328+U328)&lt;0,"",AI328*AD328*52)</f>
        <v>566930</v>
      </c>
      <c r="AM328" s="167" t="str">
        <f t="shared" ref="AM328:AM376" si="72">IF((-S328+U328)&gt;0,"",-AJ328*AD328*52)</f>
        <v/>
      </c>
    </row>
    <row r="329" spans="1:39" hidden="1" x14ac:dyDescent="0.25">
      <c r="A329" s="128" t="s">
        <v>646</v>
      </c>
      <c r="B329" s="128" t="s">
        <v>201</v>
      </c>
      <c r="C329" s="128" t="s">
        <v>647</v>
      </c>
      <c r="D329" s="128"/>
      <c r="E329" s="128">
        <v>1</v>
      </c>
      <c r="F329" s="128"/>
      <c r="G329" s="128">
        <v>0</v>
      </c>
      <c r="H329" s="128">
        <v>0</v>
      </c>
      <c r="I329" s="128">
        <v>0</v>
      </c>
      <c r="J329" s="164" t="s">
        <v>87</v>
      </c>
      <c r="K329" s="157" t="s">
        <v>648</v>
      </c>
      <c r="L329" s="148"/>
      <c r="M329" s="148"/>
      <c r="N329" s="157"/>
      <c r="O329" s="157"/>
      <c r="P329" s="157">
        <v>1</v>
      </c>
      <c r="Q329" s="157"/>
      <c r="R329" s="148"/>
      <c r="S329" s="149">
        <v>20</v>
      </c>
      <c r="T329" s="158" t="s">
        <v>46</v>
      </c>
      <c r="U329" s="150">
        <v>23</v>
      </c>
      <c r="V329" s="159">
        <f t="shared" si="63"/>
        <v>3</v>
      </c>
      <c r="W329" s="160"/>
      <c r="X329" s="161"/>
      <c r="Y329" s="124">
        <v>1</v>
      </c>
      <c r="Z329" s="124" t="s">
        <v>587</v>
      </c>
      <c r="AA329" s="124"/>
      <c r="AB329" s="153">
        <v>0.5</v>
      </c>
      <c r="AC329" s="154">
        <f t="shared" si="65"/>
        <v>0.5</v>
      </c>
      <c r="AD329" s="161">
        <v>7</v>
      </c>
      <c r="AE329" s="162">
        <v>3000</v>
      </c>
      <c r="AF329" s="163">
        <v>3000</v>
      </c>
      <c r="AG329" s="167">
        <f t="shared" si="66"/>
        <v>225.00000000000003</v>
      </c>
      <c r="AH329" s="168" t="str">
        <f t="shared" si="67"/>
        <v/>
      </c>
      <c r="AI329" s="168">
        <f t="shared" si="68"/>
        <v>225.00000000000003</v>
      </c>
      <c r="AJ329" s="167" t="str">
        <f t="shared" si="69"/>
        <v/>
      </c>
      <c r="AK329" s="167">
        <f t="shared" si="70"/>
        <v>546000</v>
      </c>
      <c r="AL329" s="167">
        <f t="shared" si="71"/>
        <v>81900.000000000015</v>
      </c>
      <c r="AM329" s="167" t="str">
        <f t="shared" si="72"/>
        <v/>
      </c>
    </row>
    <row r="330" spans="1:39" hidden="1" x14ac:dyDescent="0.25">
      <c r="A330" s="128" t="s">
        <v>588</v>
      </c>
      <c r="B330" s="128" t="s">
        <v>588</v>
      </c>
      <c r="C330" s="128" t="s">
        <v>588</v>
      </c>
      <c r="D330" s="128"/>
      <c r="E330" s="128">
        <v>1</v>
      </c>
      <c r="F330" s="128"/>
      <c r="G330" s="128">
        <v>0</v>
      </c>
      <c r="H330" s="128">
        <v>0</v>
      </c>
      <c r="I330" s="128">
        <v>0</v>
      </c>
      <c r="J330" s="164" t="s">
        <v>87</v>
      </c>
      <c r="K330" s="157" t="s">
        <v>649</v>
      </c>
      <c r="L330" s="148"/>
      <c r="M330" s="148"/>
      <c r="N330" s="157"/>
      <c r="O330" s="157"/>
      <c r="P330" s="157">
        <v>1</v>
      </c>
      <c r="Q330" s="157"/>
      <c r="R330" s="148"/>
      <c r="S330" s="149">
        <v>22</v>
      </c>
      <c r="T330" s="158" t="s">
        <v>46</v>
      </c>
      <c r="U330" s="150">
        <v>23</v>
      </c>
      <c r="V330" s="159">
        <f t="shared" si="63"/>
        <v>1</v>
      </c>
      <c r="W330" s="160"/>
      <c r="X330" s="161"/>
      <c r="Y330" s="124">
        <v>1</v>
      </c>
      <c r="Z330" s="124" t="s">
        <v>587</v>
      </c>
      <c r="AA330" s="124"/>
      <c r="AB330" s="153">
        <v>0.5</v>
      </c>
      <c r="AC330" s="154">
        <f t="shared" si="65"/>
        <v>0.5</v>
      </c>
      <c r="AD330" s="161">
        <v>7</v>
      </c>
      <c r="AE330" s="162">
        <v>3000</v>
      </c>
      <c r="AF330" s="163">
        <v>3000</v>
      </c>
      <c r="AG330" s="167">
        <f t="shared" si="66"/>
        <v>68.181818181818187</v>
      </c>
      <c r="AH330" s="168" t="str">
        <f t="shared" si="67"/>
        <v/>
      </c>
      <c r="AI330" s="168">
        <f t="shared" si="68"/>
        <v>68.181818181818187</v>
      </c>
      <c r="AJ330" s="167" t="str">
        <f t="shared" si="69"/>
        <v/>
      </c>
      <c r="AK330" s="167">
        <f t="shared" si="70"/>
        <v>546000</v>
      </c>
      <c r="AL330" s="167">
        <f t="shared" si="71"/>
        <v>24818.18181818182</v>
      </c>
      <c r="AM330" s="167" t="str">
        <f t="shared" si="72"/>
        <v/>
      </c>
    </row>
    <row r="331" spans="1:39" hidden="1" x14ac:dyDescent="0.25">
      <c r="A331" s="128" t="s">
        <v>588</v>
      </c>
      <c r="B331" s="128" t="s">
        <v>588</v>
      </c>
      <c r="C331" s="128" t="s">
        <v>588</v>
      </c>
      <c r="D331" s="128"/>
      <c r="E331" s="128">
        <v>1</v>
      </c>
      <c r="F331" s="128"/>
      <c r="G331" s="128">
        <v>0</v>
      </c>
      <c r="H331" s="128">
        <v>0</v>
      </c>
      <c r="I331" s="128">
        <v>0</v>
      </c>
      <c r="J331" s="164" t="s">
        <v>87</v>
      </c>
      <c r="K331" s="157" t="s">
        <v>650</v>
      </c>
      <c r="L331" s="148"/>
      <c r="M331" s="148"/>
      <c r="N331" s="157"/>
      <c r="O331" s="157"/>
      <c r="P331" s="157">
        <v>1</v>
      </c>
      <c r="Q331" s="157"/>
      <c r="R331" s="148"/>
      <c r="S331" s="149">
        <v>22</v>
      </c>
      <c r="T331" s="158" t="s">
        <v>46</v>
      </c>
      <c r="U331" s="150">
        <v>24</v>
      </c>
      <c r="V331" s="159">
        <f t="shared" si="63"/>
        <v>2</v>
      </c>
      <c r="W331" s="160"/>
      <c r="X331" s="161"/>
      <c r="Y331" s="124">
        <v>1</v>
      </c>
      <c r="Z331" s="124" t="s">
        <v>587</v>
      </c>
      <c r="AA331" s="124"/>
      <c r="AB331" s="153">
        <v>0.5</v>
      </c>
      <c r="AC331" s="154">
        <f t="shared" si="65"/>
        <v>0.5</v>
      </c>
      <c r="AD331" s="161">
        <v>7</v>
      </c>
      <c r="AE331" s="162">
        <v>3000</v>
      </c>
      <c r="AF331" s="163">
        <v>3000</v>
      </c>
      <c r="AG331" s="167">
        <f t="shared" si="66"/>
        <v>136.36363636363637</v>
      </c>
      <c r="AH331" s="168" t="str">
        <f t="shared" si="67"/>
        <v/>
      </c>
      <c r="AI331" s="168">
        <f t="shared" si="68"/>
        <v>136.36363636363637</v>
      </c>
      <c r="AJ331" s="167" t="str">
        <f t="shared" si="69"/>
        <v/>
      </c>
      <c r="AK331" s="167">
        <f t="shared" si="70"/>
        <v>546000</v>
      </c>
      <c r="AL331" s="167">
        <f t="shared" si="71"/>
        <v>49636.36363636364</v>
      </c>
      <c r="AM331" s="167" t="str">
        <f t="shared" si="72"/>
        <v/>
      </c>
    </row>
    <row r="332" spans="1:39" hidden="1" x14ac:dyDescent="0.25">
      <c r="A332" s="128" t="s">
        <v>588</v>
      </c>
      <c r="B332" s="128" t="s">
        <v>588</v>
      </c>
      <c r="C332" s="128" t="s">
        <v>588</v>
      </c>
      <c r="D332" s="128"/>
      <c r="E332" s="128">
        <v>1</v>
      </c>
      <c r="F332" s="128"/>
      <c r="G332" s="128">
        <v>0</v>
      </c>
      <c r="H332" s="128">
        <v>0</v>
      </c>
      <c r="I332" s="128">
        <v>0</v>
      </c>
      <c r="J332" s="164" t="s">
        <v>87</v>
      </c>
      <c r="K332" s="157" t="s">
        <v>651</v>
      </c>
      <c r="L332" s="148"/>
      <c r="M332" s="148"/>
      <c r="N332" s="157"/>
      <c r="O332" s="157"/>
      <c r="P332" s="157">
        <v>1</v>
      </c>
      <c r="Q332" s="157"/>
      <c r="R332" s="148"/>
      <c r="S332" s="149">
        <v>22</v>
      </c>
      <c r="T332" s="158" t="s">
        <v>46</v>
      </c>
      <c r="U332" s="150">
        <v>23</v>
      </c>
      <c r="V332" s="159">
        <f t="shared" si="63"/>
        <v>1</v>
      </c>
      <c r="W332" s="160"/>
      <c r="X332" s="161"/>
      <c r="Y332" s="124">
        <v>1</v>
      </c>
      <c r="Z332" s="124" t="s">
        <v>587</v>
      </c>
      <c r="AA332" s="124"/>
      <c r="AB332" s="153">
        <v>0.5</v>
      </c>
      <c r="AC332" s="154">
        <f t="shared" si="65"/>
        <v>0.5</v>
      </c>
      <c r="AD332" s="161">
        <v>7</v>
      </c>
      <c r="AE332" s="162">
        <v>3000</v>
      </c>
      <c r="AF332" s="163">
        <v>3000</v>
      </c>
      <c r="AG332" s="167">
        <f t="shared" si="66"/>
        <v>68.181818181818187</v>
      </c>
      <c r="AH332" s="168" t="str">
        <f t="shared" si="67"/>
        <v/>
      </c>
      <c r="AI332" s="168">
        <f t="shared" si="68"/>
        <v>68.181818181818187</v>
      </c>
      <c r="AJ332" s="167" t="str">
        <f t="shared" si="69"/>
        <v/>
      </c>
      <c r="AK332" s="167">
        <f t="shared" si="70"/>
        <v>546000</v>
      </c>
      <c r="AL332" s="167">
        <f t="shared" si="71"/>
        <v>24818.18181818182</v>
      </c>
      <c r="AM332" s="167" t="str">
        <f t="shared" si="72"/>
        <v/>
      </c>
    </row>
    <row r="333" spans="1:39" ht="26.25" hidden="1" x14ac:dyDescent="0.25">
      <c r="A333" s="128" t="s">
        <v>588</v>
      </c>
      <c r="B333" s="128" t="s">
        <v>588</v>
      </c>
      <c r="C333" s="128" t="s">
        <v>588</v>
      </c>
      <c r="D333" s="128"/>
      <c r="E333" s="128">
        <v>1</v>
      </c>
      <c r="F333" s="128"/>
      <c r="G333" s="128">
        <v>0</v>
      </c>
      <c r="H333" s="128">
        <v>0</v>
      </c>
      <c r="I333" s="128">
        <v>0</v>
      </c>
      <c r="J333" s="164" t="s">
        <v>87</v>
      </c>
      <c r="K333" s="157" t="s">
        <v>652</v>
      </c>
      <c r="L333" s="148"/>
      <c r="M333" s="148"/>
      <c r="N333" s="157"/>
      <c r="O333" s="157"/>
      <c r="P333" s="157">
        <v>1</v>
      </c>
      <c r="Q333" s="157"/>
      <c r="R333" s="148"/>
      <c r="S333" s="149">
        <v>22</v>
      </c>
      <c r="T333" s="158" t="s">
        <v>46</v>
      </c>
      <c r="U333" s="150">
        <v>22</v>
      </c>
      <c r="V333" s="159">
        <f t="shared" si="63"/>
        <v>0</v>
      </c>
      <c r="W333" s="160"/>
      <c r="X333" s="161"/>
      <c r="Y333" s="124">
        <v>1</v>
      </c>
      <c r="Z333" s="124" t="s">
        <v>587</v>
      </c>
      <c r="AA333" s="124"/>
      <c r="AB333" s="153">
        <v>0.5</v>
      </c>
      <c r="AC333" s="154">
        <f t="shared" si="65"/>
        <v>0.5</v>
      </c>
      <c r="AD333" s="161">
        <v>7</v>
      </c>
      <c r="AE333" s="162">
        <v>3000</v>
      </c>
      <c r="AF333" s="163">
        <v>3000</v>
      </c>
      <c r="AG333" s="167">
        <f t="shared" si="66"/>
        <v>0</v>
      </c>
      <c r="AH333" s="168">
        <f t="shared" si="67"/>
        <v>0</v>
      </c>
      <c r="AI333" s="168">
        <f t="shared" si="68"/>
        <v>0</v>
      </c>
      <c r="AJ333" s="167">
        <f t="shared" si="69"/>
        <v>0</v>
      </c>
      <c r="AK333" s="167">
        <f t="shared" si="70"/>
        <v>546000</v>
      </c>
      <c r="AL333" s="167">
        <f t="shared" si="71"/>
        <v>0</v>
      </c>
      <c r="AM333" s="167">
        <f t="shared" si="72"/>
        <v>0</v>
      </c>
    </row>
    <row r="334" spans="1:39" hidden="1" x14ac:dyDescent="0.25">
      <c r="A334" s="128" t="s">
        <v>588</v>
      </c>
      <c r="B334" s="128" t="s">
        <v>588</v>
      </c>
      <c r="C334" s="128" t="s">
        <v>588</v>
      </c>
      <c r="D334" s="128"/>
      <c r="E334" s="128">
        <v>1</v>
      </c>
      <c r="F334" s="128"/>
      <c r="G334" s="128">
        <v>0</v>
      </c>
      <c r="H334" s="128">
        <v>0</v>
      </c>
      <c r="I334" s="128">
        <v>0</v>
      </c>
      <c r="J334" s="164" t="s">
        <v>87</v>
      </c>
      <c r="K334" s="157" t="s">
        <v>653</v>
      </c>
      <c r="L334" s="148"/>
      <c r="M334" s="148"/>
      <c r="N334" s="157"/>
      <c r="O334" s="157"/>
      <c r="P334" s="157">
        <v>1</v>
      </c>
      <c r="Q334" s="157"/>
      <c r="R334" s="148"/>
      <c r="S334" s="149">
        <v>22</v>
      </c>
      <c r="T334" s="158" t="s">
        <v>46</v>
      </c>
      <c r="U334" s="150">
        <v>23</v>
      </c>
      <c r="V334" s="159">
        <f t="shared" si="63"/>
        <v>1</v>
      </c>
      <c r="W334" s="160"/>
      <c r="X334" s="161"/>
      <c r="Y334" s="124">
        <v>1</v>
      </c>
      <c r="Z334" s="124" t="s">
        <v>587</v>
      </c>
      <c r="AA334" s="124"/>
      <c r="AB334" s="153">
        <v>0.5</v>
      </c>
      <c r="AC334" s="154">
        <f t="shared" si="65"/>
        <v>0.5</v>
      </c>
      <c r="AD334" s="161">
        <v>7</v>
      </c>
      <c r="AE334" s="162">
        <v>3000</v>
      </c>
      <c r="AF334" s="163">
        <v>3000</v>
      </c>
      <c r="AG334" s="167">
        <f t="shared" si="66"/>
        <v>68.181818181818187</v>
      </c>
      <c r="AH334" s="168" t="str">
        <f t="shared" si="67"/>
        <v/>
      </c>
      <c r="AI334" s="168">
        <f t="shared" si="68"/>
        <v>68.181818181818187</v>
      </c>
      <c r="AJ334" s="167" t="str">
        <f t="shared" si="69"/>
        <v/>
      </c>
      <c r="AK334" s="167">
        <f t="shared" si="70"/>
        <v>546000</v>
      </c>
      <c r="AL334" s="167">
        <f t="shared" si="71"/>
        <v>24818.18181818182</v>
      </c>
      <c r="AM334" s="167" t="str">
        <f t="shared" si="72"/>
        <v/>
      </c>
    </row>
    <row r="335" spans="1:39" hidden="1" x14ac:dyDescent="0.25">
      <c r="A335" s="128" t="s">
        <v>654</v>
      </c>
      <c r="B335" s="128" t="s">
        <v>201</v>
      </c>
      <c r="C335" s="128" t="s">
        <v>655</v>
      </c>
      <c r="D335" s="128"/>
      <c r="E335" s="128">
        <v>1</v>
      </c>
      <c r="F335" s="128"/>
      <c r="G335" s="128">
        <v>0</v>
      </c>
      <c r="H335" s="128">
        <v>0</v>
      </c>
      <c r="I335" s="128">
        <v>0</v>
      </c>
      <c r="J335" s="164" t="s">
        <v>145</v>
      </c>
      <c r="K335" s="157" t="s">
        <v>656</v>
      </c>
      <c r="L335" s="148"/>
      <c r="M335" s="148">
        <v>34</v>
      </c>
      <c r="N335" s="157"/>
      <c r="O335" s="157"/>
      <c r="P335" s="157"/>
      <c r="Q335" s="157"/>
      <c r="R335" s="148"/>
      <c r="S335" s="149">
        <v>500</v>
      </c>
      <c r="T335" s="158" t="s">
        <v>46</v>
      </c>
      <c r="U335" s="150">
        <v>505</v>
      </c>
      <c r="V335" s="159">
        <f t="shared" si="63"/>
        <v>5</v>
      </c>
      <c r="W335" s="160"/>
      <c r="X335" s="161"/>
      <c r="Y335" s="124">
        <v>1</v>
      </c>
      <c r="Z335" s="124" t="s">
        <v>587</v>
      </c>
      <c r="AA335" s="124"/>
      <c r="AB335" s="153">
        <v>22</v>
      </c>
      <c r="AC335" s="154">
        <f t="shared" si="65"/>
        <v>22</v>
      </c>
      <c r="AD335" s="161">
        <v>5</v>
      </c>
      <c r="AE335" s="162">
        <v>50</v>
      </c>
      <c r="AF335" s="163">
        <v>34</v>
      </c>
      <c r="AG335" s="167">
        <f t="shared" si="66"/>
        <v>7.4799999999999986</v>
      </c>
      <c r="AH335" s="168" t="str">
        <f t="shared" si="67"/>
        <v/>
      </c>
      <c r="AI335" s="168">
        <f t="shared" si="68"/>
        <v>10.999999999999998</v>
      </c>
      <c r="AJ335" s="167" t="str">
        <f t="shared" si="69"/>
        <v/>
      </c>
      <c r="AK335" s="167">
        <f t="shared" si="70"/>
        <v>286000</v>
      </c>
      <c r="AL335" s="167">
        <f t="shared" si="71"/>
        <v>2859.9999999999995</v>
      </c>
      <c r="AM335" s="167" t="str">
        <f t="shared" si="72"/>
        <v/>
      </c>
    </row>
    <row r="336" spans="1:39" hidden="1" x14ac:dyDescent="0.25">
      <c r="A336" s="128" t="s">
        <v>588</v>
      </c>
      <c r="B336" s="128" t="s">
        <v>588</v>
      </c>
      <c r="C336" s="128" t="s">
        <v>588</v>
      </c>
      <c r="D336" s="128"/>
      <c r="E336" s="128">
        <v>1</v>
      </c>
      <c r="F336" s="128"/>
      <c r="G336" s="128">
        <v>0</v>
      </c>
      <c r="H336" s="128">
        <v>0</v>
      </c>
      <c r="I336" s="128">
        <v>0</v>
      </c>
      <c r="J336" s="164" t="s">
        <v>145</v>
      </c>
      <c r="K336" s="157" t="s">
        <v>656</v>
      </c>
      <c r="L336" s="148"/>
      <c r="M336" s="148">
        <v>16</v>
      </c>
      <c r="N336" s="157"/>
      <c r="O336" s="157"/>
      <c r="P336" s="157"/>
      <c r="Q336" s="157"/>
      <c r="R336" s="148"/>
      <c r="S336" s="149">
        <v>2000</v>
      </c>
      <c r="T336" s="158" t="s">
        <v>46</v>
      </c>
      <c r="U336" s="150">
        <v>2004</v>
      </c>
      <c r="V336" s="159">
        <f t="shared" si="63"/>
        <v>4</v>
      </c>
      <c r="W336" s="160"/>
      <c r="X336" s="161"/>
      <c r="Y336" s="124">
        <v>1</v>
      </c>
      <c r="Z336" s="124" t="s">
        <v>587</v>
      </c>
      <c r="AA336" s="124"/>
      <c r="AB336" s="153">
        <v>48</v>
      </c>
      <c r="AC336" s="154">
        <f t="shared" si="65"/>
        <v>48</v>
      </c>
      <c r="AD336" s="161">
        <v>5</v>
      </c>
      <c r="AE336" s="162">
        <v>50</v>
      </c>
      <c r="AF336" s="163">
        <v>16</v>
      </c>
      <c r="AG336" s="167">
        <f t="shared" si="66"/>
        <v>1.536</v>
      </c>
      <c r="AH336" s="168" t="str">
        <f t="shared" si="67"/>
        <v/>
      </c>
      <c r="AI336" s="168">
        <f t="shared" si="68"/>
        <v>4.8</v>
      </c>
      <c r="AJ336" s="167" t="str">
        <f t="shared" si="69"/>
        <v/>
      </c>
      <c r="AK336" s="167">
        <f t="shared" si="70"/>
        <v>624000</v>
      </c>
      <c r="AL336" s="167">
        <f t="shared" si="71"/>
        <v>1248</v>
      </c>
      <c r="AM336" s="167" t="str">
        <f t="shared" si="72"/>
        <v/>
      </c>
    </row>
    <row r="337" spans="1:39" hidden="1" x14ac:dyDescent="0.25">
      <c r="A337" s="128" t="s">
        <v>588</v>
      </c>
      <c r="B337" s="128" t="s">
        <v>588</v>
      </c>
      <c r="C337" s="128" t="s">
        <v>588</v>
      </c>
      <c r="D337" s="128"/>
      <c r="E337" s="128">
        <v>1</v>
      </c>
      <c r="F337" s="128"/>
      <c r="G337" s="128">
        <v>0</v>
      </c>
      <c r="H337" s="128">
        <v>0</v>
      </c>
      <c r="I337" s="128">
        <v>0</v>
      </c>
      <c r="J337" s="164" t="s">
        <v>145</v>
      </c>
      <c r="K337" s="157" t="s">
        <v>656</v>
      </c>
      <c r="L337" s="148"/>
      <c r="M337" s="148">
        <v>13</v>
      </c>
      <c r="N337" s="157"/>
      <c r="O337" s="157"/>
      <c r="P337" s="157"/>
      <c r="Q337" s="157"/>
      <c r="R337" s="148"/>
      <c r="S337" s="149">
        <v>1000</v>
      </c>
      <c r="T337" s="158" t="s">
        <v>46</v>
      </c>
      <c r="U337" s="150">
        <v>1005</v>
      </c>
      <c r="V337" s="159">
        <f t="shared" si="63"/>
        <v>5</v>
      </c>
      <c r="W337" s="160"/>
      <c r="X337" s="161"/>
      <c r="Y337" s="124">
        <v>1</v>
      </c>
      <c r="Z337" s="124" t="s">
        <v>587</v>
      </c>
      <c r="AA337" s="124"/>
      <c r="AB337" s="153">
        <v>24</v>
      </c>
      <c r="AC337" s="154">
        <f t="shared" si="65"/>
        <v>24</v>
      </c>
      <c r="AD337" s="161">
        <v>5</v>
      </c>
      <c r="AE337" s="162">
        <v>50</v>
      </c>
      <c r="AF337" s="163">
        <v>13</v>
      </c>
      <c r="AG337" s="167">
        <f t="shared" si="66"/>
        <v>1.56</v>
      </c>
      <c r="AH337" s="168" t="str">
        <f t="shared" si="67"/>
        <v/>
      </c>
      <c r="AI337" s="168">
        <f t="shared" si="68"/>
        <v>6</v>
      </c>
      <c r="AJ337" s="167" t="str">
        <f t="shared" si="69"/>
        <v/>
      </c>
      <c r="AK337" s="167">
        <f t="shared" si="70"/>
        <v>312000</v>
      </c>
      <c r="AL337" s="167">
        <f t="shared" si="71"/>
        <v>1560</v>
      </c>
      <c r="AM337" s="167" t="str">
        <f t="shared" si="72"/>
        <v/>
      </c>
    </row>
    <row r="338" spans="1:39" hidden="1" x14ac:dyDescent="0.25">
      <c r="A338" s="128" t="s">
        <v>588</v>
      </c>
      <c r="B338" s="128" t="s">
        <v>588</v>
      </c>
      <c r="C338" s="128" t="s">
        <v>588</v>
      </c>
      <c r="D338" s="128"/>
      <c r="E338" s="128">
        <v>1</v>
      </c>
      <c r="F338" s="128"/>
      <c r="G338" s="128">
        <v>0</v>
      </c>
      <c r="H338" s="128">
        <v>0</v>
      </c>
      <c r="I338" s="128">
        <v>0</v>
      </c>
      <c r="J338" s="164" t="s">
        <v>145</v>
      </c>
      <c r="K338" s="157" t="s">
        <v>657</v>
      </c>
      <c r="L338" s="148"/>
      <c r="M338" s="148">
        <v>22</v>
      </c>
      <c r="N338" s="157"/>
      <c r="O338" s="157"/>
      <c r="P338" s="157"/>
      <c r="Q338" s="157"/>
      <c r="R338" s="148"/>
      <c r="S338" s="149">
        <v>500</v>
      </c>
      <c r="T338" s="158" t="s">
        <v>46</v>
      </c>
      <c r="U338" s="150">
        <v>503</v>
      </c>
      <c r="V338" s="159">
        <f t="shared" si="63"/>
        <v>3</v>
      </c>
      <c r="W338" s="160"/>
      <c r="X338" s="161"/>
      <c r="Y338" s="124">
        <v>1</v>
      </c>
      <c r="Z338" s="124" t="s">
        <v>587</v>
      </c>
      <c r="AA338" s="124"/>
      <c r="AB338" s="153">
        <v>18</v>
      </c>
      <c r="AC338" s="154">
        <f t="shared" si="65"/>
        <v>18</v>
      </c>
      <c r="AD338" s="161">
        <v>5</v>
      </c>
      <c r="AE338" s="162">
        <v>50</v>
      </c>
      <c r="AF338" s="163">
        <v>22</v>
      </c>
      <c r="AG338" s="167">
        <f t="shared" si="66"/>
        <v>2.3759999999999994</v>
      </c>
      <c r="AH338" s="168" t="str">
        <f t="shared" si="67"/>
        <v/>
      </c>
      <c r="AI338" s="168">
        <f t="shared" si="68"/>
        <v>5.3999999999999995</v>
      </c>
      <c r="AJ338" s="167" t="str">
        <f t="shared" si="69"/>
        <v/>
      </c>
      <c r="AK338" s="167">
        <f t="shared" si="70"/>
        <v>234000</v>
      </c>
      <c r="AL338" s="167">
        <f t="shared" si="71"/>
        <v>1403.9999999999998</v>
      </c>
      <c r="AM338" s="167" t="str">
        <f t="shared" si="72"/>
        <v/>
      </c>
    </row>
    <row r="339" spans="1:39" hidden="1" x14ac:dyDescent="0.25">
      <c r="A339" s="128" t="s">
        <v>588</v>
      </c>
      <c r="B339" s="128" t="s">
        <v>588</v>
      </c>
      <c r="C339" s="128" t="s">
        <v>588</v>
      </c>
      <c r="D339" s="128"/>
      <c r="E339" s="128">
        <v>1</v>
      </c>
      <c r="F339" s="128"/>
      <c r="G339" s="128">
        <v>0</v>
      </c>
      <c r="H339" s="128">
        <v>0</v>
      </c>
      <c r="I339" s="128">
        <v>0</v>
      </c>
      <c r="J339" s="164" t="s">
        <v>145</v>
      </c>
      <c r="K339" s="157" t="s">
        <v>658</v>
      </c>
      <c r="L339" s="148"/>
      <c r="M339" s="148">
        <v>27</v>
      </c>
      <c r="N339" s="157"/>
      <c r="O339" s="157"/>
      <c r="P339" s="157"/>
      <c r="Q339" s="157"/>
      <c r="R339" s="148"/>
      <c r="S339" s="149">
        <v>250</v>
      </c>
      <c r="T339" s="158" t="s">
        <v>46</v>
      </c>
      <c r="U339" s="150">
        <v>251</v>
      </c>
      <c r="V339" s="159">
        <f t="shared" si="63"/>
        <v>1</v>
      </c>
      <c r="W339" s="160"/>
      <c r="X339" s="161"/>
      <c r="Y339" s="124">
        <v>1</v>
      </c>
      <c r="Z339" s="124" t="s">
        <v>587</v>
      </c>
      <c r="AA339" s="124"/>
      <c r="AB339" s="153">
        <v>12</v>
      </c>
      <c r="AC339" s="154">
        <f t="shared" si="65"/>
        <v>12</v>
      </c>
      <c r="AD339" s="161">
        <v>5</v>
      </c>
      <c r="AE339" s="162">
        <v>50</v>
      </c>
      <c r="AF339" s="163">
        <v>27</v>
      </c>
      <c r="AG339" s="167">
        <f t="shared" si="66"/>
        <v>1.296</v>
      </c>
      <c r="AH339" s="168" t="str">
        <f t="shared" si="67"/>
        <v/>
      </c>
      <c r="AI339" s="168">
        <f t="shared" si="68"/>
        <v>2.4</v>
      </c>
      <c r="AJ339" s="167" t="str">
        <f t="shared" si="69"/>
        <v/>
      </c>
      <c r="AK339" s="167">
        <f t="shared" si="70"/>
        <v>156000</v>
      </c>
      <c r="AL339" s="167">
        <f t="shared" si="71"/>
        <v>624</v>
      </c>
      <c r="AM339" s="167" t="str">
        <f t="shared" si="72"/>
        <v/>
      </c>
    </row>
    <row r="340" spans="1:39" hidden="1" x14ac:dyDescent="0.25">
      <c r="A340" s="124" t="s">
        <v>659</v>
      </c>
      <c r="B340" s="124" t="s">
        <v>42</v>
      </c>
      <c r="C340" s="124" t="s">
        <v>660</v>
      </c>
      <c r="D340" s="124"/>
      <c r="E340" s="124">
        <v>1</v>
      </c>
      <c r="F340" s="124"/>
      <c r="G340" s="124"/>
      <c r="H340" s="124"/>
      <c r="I340" s="124"/>
      <c r="J340" s="166" t="s">
        <v>102</v>
      </c>
      <c r="K340" s="148" t="s">
        <v>597</v>
      </c>
      <c r="L340" s="148">
        <v>4.3</v>
      </c>
      <c r="M340" s="148">
        <v>9</v>
      </c>
      <c r="N340" s="148"/>
      <c r="O340" s="148"/>
      <c r="P340" s="148"/>
      <c r="Q340" s="148"/>
      <c r="R340" s="148">
        <v>9</v>
      </c>
      <c r="S340" s="149">
        <v>3420</v>
      </c>
      <c r="T340" s="149" t="s">
        <v>46</v>
      </c>
      <c r="U340" s="150">
        <v>3424</v>
      </c>
      <c r="V340" s="159">
        <f t="shared" si="63"/>
        <v>4</v>
      </c>
      <c r="W340" s="160"/>
      <c r="X340" s="161"/>
      <c r="Y340" s="124">
        <v>1</v>
      </c>
      <c r="Z340" s="124">
        <v>0</v>
      </c>
      <c r="AA340" s="124">
        <v>46.99</v>
      </c>
      <c r="AB340" s="153"/>
      <c r="AC340" s="154">
        <f>IF(AA340&gt;0,AA340/1000*S340/R340,AB340)</f>
        <v>17.856200000000001</v>
      </c>
      <c r="AD340" s="161">
        <v>4</v>
      </c>
      <c r="AE340" s="162">
        <v>15</v>
      </c>
      <c r="AF340" s="163">
        <v>9</v>
      </c>
      <c r="AG340" s="167">
        <f t="shared" si="66"/>
        <v>0.18796000000000002</v>
      </c>
      <c r="AH340" s="168" t="str">
        <f t="shared" si="67"/>
        <v/>
      </c>
      <c r="AI340" s="168">
        <f t="shared" si="68"/>
        <v>0.31326666666666669</v>
      </c>
      <c r="AJ340" s="167" t="str">
        <f t="shared" si="69"/>
        <v/>
      </c>
      <c r="AK340" s="167">
        <f t="shared" si="70"/>
        <v>55711.344000000005</v>
      </c>
      <c r="AL340" s="167">
        <f t="shared" si="71"/>
        <v>65.159466666666674</v>
      </c>
      <c r="AM340" s="167" t="str">
        <f t="shared" si="72"/>
        <v/>
      </c>
    </row>
    <row r="341" spans="1:39" hidden="1" x14ac:dyDescent="0.25">
      <c r="A341" s="128" t="s">
        <v>588</v>
      </c>
      <c r="B341" s="128" t="s">
        <v>588</v>
      </c>
      <c r="C341" s="128" t="s">
        <v>588</v>
      </c>
      <c r="D341" s="128"/>
      <c r="E341" s="128">
        <v>1</v>
      </c>
      <c r="F341" s="128"/>
      <c r="G341" s="128"/>
      <c r="H341" s="124"/>
      <c r="I341" s="124"/>
      <c r="J341" s="166" t="s">
        <v>102</v>
      </c>
      <c r="K341" s="148" t="s">
        <v>661</v>
      </c>
      <c r="L341" s="148">
        <v>4.3</v>
      </c>
      <c r="M341" s="148">
        <v>13</v>
      </c>
      <c r="N341" s="157"/>
      <c r="O341" s="157"/>
      <c r="P341" s="157"/>
      <c r="Q341" s="157"/>
      <c r="R341" s="148">
        <v>13</v>
      </c>
      <c r="S341" s="149">
        <v>3480</v>
      </c>
      <c r="T341" s="158" t="s">
        <v>46</v>
      </c>
      <c r="U341" s="150">
        <v>3482</v>
      </c>
      <c r="V341" s="159">
        <f t="shared" si="63"/>
        <v>2</v>
      </c>
      <c r="W341" s="160"/>
      <c r="X341" s="161"/>
      <c r="Y341" s="124">
        <v>1</v>
      </c>
      <c r="Z341" s="124">
        <v>0</v>
      </c>
      <c r="AA341" s="124">
        <v>50</v>
      </c>
      <c r="AB341" s="153"/>
      <c r="AC341" s="154">
        <f t="shared" ref="AC341:AC376" si="73">IF(AA341&gt;0,AA341/1000*S341/R341,AB341)</f>
        <v>13.384615384615385</v>
      </c>
      <c r="AD341" s="161">
        <v>4</v>
      </c>
      <c r="AE341" s="162">
        <v>15</v>
      </c>
      <c r="AF341" s="163">
        <v>13</v>
      </c>
      <c r="AG341" s="167">
        <f t="shared" si="66"/>
        <v>0.1</v>
      </c>
      <c r="AH341" s="168" t="str">
        <f t="shared" si="67"/>
        <v/>
      </c>
      <c r="AI341" s="168">
        <f t="shared" si="68"/>
        <v>0.11538461538461539</v>
      </c>
      <c r="AJ341" s="167" t="str">
        <f t="shared" si="69"/>
        <v/>
      </c>
      <c r="AK341" s="167">
        <f t="shared" si="70"/>
        <v>41760</v>
      </c>
      <c r="AL341" s="167">
        <f t="shared" si="71"/>
        <v>24</v>
      </c>
      <c r="AM341" s="167" t="str">
        <f t="shared" si="72"/>
        <v/>
      </c>
    </row>
    <row r="342" spans="1:39" hidden="1" x14ac:dyDescent="0.25">
      <c r="A342" s="128" t="s">
        <v>588</v>
      </c>
      <c r="B342" s="128" t="s">
        <v>588</v>
      </c>
      <c r="C342" s="128" t="s">
        <v>588</v>
      </c>
      <c r="D342" s="128"/>
      <c r="E342" s="128">
        <v>1</v>
      </c>
      <c r="F342" s="128"/>
      <c r="G342" s="128"/>
      <c r="H342" s="128"/>
      <c r="I342" s="128"/>
      <c r="J342" s="166" t="s">
        <v>181</v>
      </c>
      <c r="K342" s="157" t="s">
        <v>662</v>
      </c>
      <c r="L342" s="148">
        <v>4.3</v>
      </c>
      <c r="M342" s="148">
        <v>10</v>
      </c>
      <c r="N342" s="157"/>
      <c r="O342" s="157"/>
      <c r="P342" s="157"/>
      <c r="Q342" s="157"/>
      <c r="R342" s="148">
        <v>10</v>
      </c>
      <c r="S342" s="149">
        <v>2708</v>
      </c>
      <c r="T342" s="158" t="s">
        <v>46</v>
      </c>
      <c r="U342" s="150">
        <v>2710</v>
      </c>
      <c r="V342" s="159">
        <f t="shared" si="63"/>
        <v>2</v>
      </c>
      <c r="W342" s="160"/>
      <c r="X342" s="161"/>
      <c r="Y342" s="124">
        <v>1</v>
      </c>
      <c r="Z342" s="124">
        <v>0</v>
      </c>
      <c r="AA342" s="124">
        <v>55</v>
      </c>
      <c r="AB342" s="153"/>
      <c r="AC342" s="154">
        <f t="shared" si="73"/>
        <v>14.894</v>
      </c>
      <c r="AD342" s="161">
        <v>5</v>
      </c>
      <c r="AE342" s="162">
        <v>20</v>
      </c>
      <c r="AF342" s="163">
        <v>10</v>
      </c>
      <c r="AG342" s="167">
        <f t="shared" si="66"/>
        <v>0.10999999999999999</v>
      </c>
      <c r="AH342" s="168" t="str">
        <f t="shared" si="67"/>
        <v/>
      </c>
      <c r="AI342" s="168">
        <f t="shared" si="68"/>
        <v>0.21999999999999997</v>
      </c>
      <c r="AJ342" s="167" t="str">
        <f t="shared" si="69"/>
        <v/>
      </c>
      <c r="AK342" s="167">
        <f t="shared" si="70"/>
        <v>77448.800000000003</v>
      </c>
      <c r="AL342" s="167">
        <f t="shared" si="71"/>
        <v>57.199999999999996</v>
      </c>
      <c r="AM342" s="167" t="str">
        <f t="shared" si="72"/>
        <v/>
      </c>
    </row>
    <row r="343" spans="1:39" hidden="1" x14ac:dyDescent="0.25">
      <c r="A343" s="128" t="s">
        <v>663</v>
      </c>
      <c r="B343" s="128" t="s">
        <v>42</v>
      </c>
      <c r="C343" s="128" t="s">
        <v>664</v>
      </c>
      <c r="D343" s="128"/>
      <c r="E343" s="128">
        <v>1</v>
      </c>
      <c r="F343" s="128"/>
      <c r="G343" s="128"/>
      <c r="H343" s="128"/>
      <c r="I343" s="128"/>
      <c r="J343" s="166" t="s">
        <v>166</v>
      </c>
      <c r="K343" s="157" t="s">
        <v>665</v>
      </c>
      <c r="L343" s="148">
        <v>4.3</v>
      </c>
      <c r="M343" s="148">
        <v>10</v>
      </c>
      <c r="N343" s="157"/>
      <c r="O343" s="157"/>
      <c r="P343" s="157"/>
      <c r="Q343" s="157"/>
      <c r="R343" s="148">
        <v>10</v>
      </c>
      <c r="S343" s="149">
        <v>3490</v>
      </c>
      <c r="T343" s="158" t="s">
        <v>46</v>
      </c>
      <c r="U343" s="150">
        <v>3498</v>
      </c>
      <c r="V343" s="159">
        <f t="shared" si="63"/>
        <v>8</v>
      </c>
      <c r="W343" s="160"/>
      <c r="X343" s="161"/>
      <c r="Y343" s="124">
        <v>1</v>
      </c>
      <c r="Z343" s="124">
        <v>0</v>
      </c>
      <c r="AA343" s="124">
        <v>50</v>
      </c>
      <c r="AB343" s="153"/>
      <c r="AC343" s="154">
        <f t="shared" si="73"/>
        <v>17.45</v>
      </c>
      <c r="AD343" s="161">
        <v>5</v>
      </c>
      <c r="AE343" s="162">
        <v>20</v>
      </c>
      <c r="AF343" s="163">
        <v>10</v>
      </c>
      <c r="AG343" s="167">
        <f t="shared" si="66"/>
        <v>0.4</v>
      </c>
      <c r="AH343" s="168" t="str">
        <f t="shared" si="67"/>
        <v/>
      </c>
      <c r="AI343" s="168">
        <f t="shared" si="68"/>
        <v>0.8</v>
      </c>
      <c r="AJ343" s="167" t="str">
        <f t="shared" si="69"/>
        <v/>
      </c>
      <c r="AK343" s="167">
        <f t="shared" si="70"/>
        <v>90740</v>
      </c>
      <c r="AL343" s="167">
        <f t="shared" si="71"/>
        <v>208</v>
      </c>
      <c r="AM343" s="167" t="str">
        <f t="shared" si="72"/>
        <v/>
      </c>
    </row>
    <row r="344" spans="1:39" hidden="1" x14ac:dyDescent="0.25">
      <c r="A344" s="128" t="s">
        <v>588</v>
      </c>
      <c r="B344" s="128" t="s">
        <v>588</v>
      </c>
      <c r="C344" s="128" t="s">
        <v>588</v>
      </c>
      <c r="D344" s="128"/>
      <c r="E344" s="128">
        <v>1</v>
      </c>
      <c r="F344" s="128"/>
      <c r="G344" s="128"/>
      <c r="H344" s="128"/>
      <c r="I344" s="128"/>
      <c r="J344" s="166" t="s">
        <v>166</v>
      </c>
      <c r="K344" s="157" t="s">
        <v>666</v>
      </c>
      <c r="L344" s="148">
        <v>4.3</v>
      </c>
      <c r="M344" s="148">
        <v>13</v>
      </c>
      <c r="N344" s="157"/>
      <c r="O344" s="157"/>
      <c r="P344" s="157"/>
      <c r="Q344" s="157"/>
      <c r="R344" s="148">
        <v>13</v>
      </c>
      <c r="S344" s="149">
        <v>4640</v>
      </c>
      <c r="T344" s="158" t="s">
        <v>46</v>
      </c>
      <c r="U344" s="150">
        <v>4644</v>
      </c>
      <c r="V344" s="159">
        <f t="shared" si="63"/>
        <v>4</v>
      </c>
      <c r="W344" s="160"/>
      <c r="X344" s="161"/>
      <c r="Y344" s="124">
        <v>1</v>
      </c>
      <c r="Z344" s="124">
        <v>0</v>
      </c>
      <c r="AA344" s="124">
        <v>57</v>
      </c>
      <c r="AB344" s="153"/>
      <c r="AC344" s="154">
        <f t="shared" si="73"/>
        <v>20.344615384615388</v>
      </c>
      <c r="AD344" s="161">
        <v>5</v>
      </c>
      <c r="AE344" s="162">
        <v>15</v>
      </c>
      <c r="AF344" s="163">
        <v>13</v>
      </c>
      <c r="AG344" s="167">
        <f t="shared" si="66"/>
        <v>0.22800000000000004</v>
      </c>
      <c r="AH344" s="168" t="str">
        <f t="shared" si="67"/>
        <v/>
      </c>
      <c r="AI344" s="168">
        <f t="shared" si="68"/>
        <v>0.2630769230769231</v>
      </c>
      <c r="AJ344" s="167" t="str">
        <f t="shared" si="69"/>
        <v/>
      </c>
      <c r="AK344" s="167">
        <f t="shared" si="70"/>
        <v>79344.000000000015</v>
      </c>
      <c r="AL344" s="167">
        <f t="shared" si="71"/>
        <v>68.400000000000006</v>
      </c>
      <c r="AM344" s="167" t="str">
        <f t="shared" si="72"/>
        <v/>
      </c>
    </row>
    <row r="345" spans="1:39" hidden="1" x14ac:dyDescent="0.25">
      <c r="A345" s="128" t="s">
        <v>588</v>
      </c>
      <c r="B345" s="128" t="s">
        <v>588</v>
      </c>
      <c r="C345" s="128" t="s">
        <v>588</v>
      </c>
      <c r="D345" s="128"/>
      <c r="E345" s="128">
        <v>1</v>
      </c>
      <c r="F345" s="128"/>
      <c r="G345" s="128"/>
      <c r="H345" s="128"/>
      <c r="I345" s="128"/>
      <c r="J345" s="166" t="s">
        <v>166</v>
      </c>
      <c r="K345" s="157" t="s">
        <v>667</v>
      </c>
      <c r="L345" s="148">
        <v>4.3</v>
      </c>
      <c r="M345" s="148">
        <v>12</v>
      </c>
      <c r="N345" s="157"/>
      <c r="O345" s="157"/>
      <c r="P345" s="157"/>
      <c r="Q345" s="157"/>
      <c r="R345" s="148">
        <v>13</v>
      </c>
      <c r="S345" s="149">
        <v>5076</v>
      </c>
      <c r="T345" s="158" t="s">
        <v>46</v>
      </c>
      <c r="U345" s="150">
        <v>5080</v>
      </c>
      <c r="V345" s="159">
        <f t="shared" si="63"/>
        <v>4</v>
      </c>
      <c r="W345" s="160"/>
      <c r="X345" s="161"/>
      <c r="Y345" s="124">
        <v>1</v>
      </c>
      <c r="Z345" s="124">
        <v>0</v>
      </c>
      <c r="AA345" s="124">
        <v>70</v>
      </c>
      <c r="AB345" s="153"/>
      <c r="AC345" s="154">
        <f t="shared" si="73"/>
        <v>27.332307692307698</v>
      </c>
      <c r="AD345" s="161">
        <v>5</v>
      </c>
      <c r="AE345" s="162">
        <v>15</v>
      </c>
      <c r="AF345" s="163">
        <v>13</v>
      </c>
      <c r="AG345" s="167">
        <f t="shared" si="66"/>
        <v>0.28000000000000003</v>
      </c>
      <c r="AH345" s="168" t="str">
        <f t="shared" si="67"/>
        <v/>
      </c>
      <c r="AI345" s="168">
        <f t="shared" si="68"/>
        <v>0.32307692307692309</v>
      </c>
      <c r="AJ345" s="167" t="str">
        <f t="shared" si="69"/>
        <v/>
      </c>
      <c r="AK345" s="167">
        <f t="shared" si="70"/>
        <v>106596.00000000001</v>
      </c>
      <c r="AL345" s="167">
        <f t="shared" si="71"/>
        <v>84</v>
      </c>
      <c r="AM345" s="167" t="str">
        <f t="shared" si="72"/>
        <v/>
      </c>
    </row>
    <row r="346" spans="1:39" x14ac:dyDescent="0.25">
      <c r="A346" s="128" t="s">
        <v>588</v>
      </c>
      <c r="B346" s="128" t="s">
        <v>588</v>
      </c>
      <c r="C346" s="128" t="s">
        <v>588</v>
      </c>
      <c r="D346" s="128"/>
      <c r="E346" s="128">
        <v>1</v>
      </c>
      <c r="F346" s="128"/>
      <c r="G346" s="128"/>
      <c r="H346" s="128"/>
      <c r="I346" s="128"/>
      <c r="J346" s="166" t="s">
        <v>141</v>
      </c>
      <c r="K346" s="157" t="s">
        <v>204</v>
      </c>
      <c r="L346" s="148">
        <v>4.5</v>
      </c>
      <c r="M346" s="148">
        <v>27</v>
      </c>
      <c r="N346" s="157"/>
      <c r="O346" s="157"/>
      <c r="P346" s="157"/>
      <c r="Q346" s="157"/>
      <c r="R346" s="148">
        <v>27</v>
      </c>
      <c r="S346" s="149">
        <v>600</v>
      </c>
      <c r="T346" s="158" t="s">
        <v>46</v>
      </c>
      <c r="U346" s="150">
        <v>606</v>
      </c>
      <c r="V346" s="25">
        <f>-S346+U346</f>
        <v>6</v>
      </c>
      <c r="W346" s="160"/>
      <c r="X346" s="161"/>
      <c r="Y346" s="124">
        <v>1</v>
      </c>
      <c r="Z346" s="124">
        <v>0</v>
      </c>
      <c r="AA346" s="124">
        <v>10</v>
      </c>
      <c r="AB346" s="153"/>
      <c r="AC346" s="154">
        <f t="shared" si="73"/>
        <v>0.22222222222222221</v>
      </c>
      <c r="AD346" s="161">
        <v>4</v>
      </c>
      <c r="AE346" s="162">
        <v>55</v>
      </c>
      <c r="AF346" s="163">
        <v>27</v>
      </c>
      <c r="AG346" s="167">
        <f t="shared" si="66"/>
        <v>0.06</v>
      </c>
      <c r="AH346" s="168" t="str">
        <f t="shared" si="67"/>
        <v/>
      </c>
      <c r="AI346" s="168">
        <f t="shared" si="68"/>
        <v>0.12222222222222222</v>
      </c>
      <c r="AJ346" s="167" t="str">
        <f t="shared" si="69"/>
        <v/>
      </c>
      <c r="AK346" s="167">
        <f t="shared" si="70"/>
        <v>2542.2222222222222</v>
      </c>
      <c r="AL346" s="167">
        <f t="shared" si="71"/>
        <v>25.422222222222221</v>
      </c>
      <c r="AM346" s="167" t="str">
        <f t="shared" si="72"/>
        <v/>
      </c>
    </row>
    <row r="347" spans="1:39" hidden="1" x14ac:dyDescent="0.25">
      <c r="A347" s="128" t="s">
        <v>668</v>
      </c>
      <c r="B347" s="128" t="s">
        <v>42</v>
      </c>
      <c r="C347" s="128" t="s">
        <v>669</v>
      </c>
      <c r="D347" s="128"/>
      <c r="E347" s="128">
        <v>1</v>
      </c>
      <c r="F347" s="128"/>
      <c r="G347" s="128">
        <v>1</v>
      </c>
      <c r="H347" s="128">
        <v>1</v>
      </c>
      <c r="I347" s="128"/>
      <c r="J347" s="166" t="s">
        <v>168</v>
      </c>
      <c r="K347" s="157" t="s">
        <v>670</v>
      </c>
      <c r="L347" s="148">
        <v>4.3</v>
      </c>
      <c r="M347" s="148">
        <v>13</v>
      </c>
      <c r="N347" s="157"/>
      <c r="O347" s="157"/>
      <c r="P347" s="157"/>
      <c r="Q347" s="157"/>
      <c r="R347" s="148">
        <v>13</v>
      </c>
      <c r="S347" s="149">
        <v>4570</v>
      </c>
      <c r="T347" s="158" t="s">
        <v>46</v>
      </c>
      <c r="U347" s="150">
        <v>4568</v>
      </c>
      <c r="V347" s="159">
        <f t="shared" si="63"/>
        <v>-2</v>
      </c>
      <c r="W347" s="160"/>
      <c r="X347" s="161"/>
      <c r="Y347" s="124">
        <v>1</v>
      </c>
      <c r="Z347" s="124">
        <v>0</v>
      </c>
      <c r="AA347" s="124">
        <v>34</v>
      </c>
      <c r="AB347" s="153"/>
      <c r="AC347" s="154">
        <f t="shared" si="73"/>
        <v>11.952307692307695</v>
      </c>
      <c r="AD347" s="161">
        <v>4</v>
      </c>
      <c r="AE347" s="162">
        <v>23</v>
      </c>
      <c r="AF347" s="163">
        <v>13</v>
      </c>
      <c r="AG347" s="167" t="str">
        <f t="shared" si="66"/>
        <v/>
      </c>
      <c r="AH347" s="168">
        <f t="shared" si="67"/>
        <v>-6.8000000000000005E-2</v>
      </c>
      <c r="AI347" s="168" t="str">
        <f t="shared" si="68"/>
        <v/>
      </c>
      <c r="AJ347" s="167">
        <f t="shared" si="69"/>
        <v>-0.12030769230769232</v>
      </c>
      <c r="AK347" s="167">
        <f t="shared" si="70"/>
        <v>57179.840000000011</v>
      </c>
      <c r="AL347" s="167" t="str">
        <f t="shared" si="71"/>
        <v/>
      </c>
      <c r="AM347" s="167">
        <f t="shared" si="72"/>
        <v>25.024000000000004</v>
      </c>
    </row>
    <row r="348" spans="1:39" hidden="1" x14ac:dyDescent="0.25">
      <c r="A348" s="128" t="s">
        <v>588</v>
      </c>
      <c r="B348" s="128" t="s">
        <v>588</v>
      </c>
      <c r="C348" s="128" t="s">
        <v>588</v>
      </c>
      <c r="D348" s="128"/>
      <c r="E348" s="128">
        <v>1</v>
      </c>
      <c r="F348" s="128"/>
      <c r="G348" s="128">
        <v>1</v>
      </c>
      <c r="H348" s="128">
        <v>1</v>
      </c>
      <c r="I348" s="128"/>
      <c r="J348" s="166" t="s">
        <v>168</v>
      </c>
      <c r="K348" s="157" t="s">
        <v>671</v>
      </c>
      <c r="L348" s="148">
        <v>4.3</v>
      </c>
      <c r="M348" s="148">
        <v>7</v>
      </c>
      <c r="N348" s="157"/>
      <c r="O348" s="157"/>
      <c r="P348" s="157"/>
      <c r="Q348" s="157"/>
      <c r="R348" s="148">
        <v>7</v>
      </c>
      <c r="S348" s="149">
        <v>2724</v>
      </c>
      <c r="T348" s="158" t="s">
        <v>46</v>
      </c>
      <c r="U348" s="150">
        <v>2704</v>
      </c>
      <c r="V348" s="159">
        <f t="shared" si="63"/>
        <v>-20</v>
      </c>
      <c r="W348" s="160"/>
      <c r="X348" s="161"/>
      <c r="Y348" s="124">
        <v>1</v>
      </c>
      <c r="Z348" s="124">
        <v>0</v>
      </c>
      <c r="AA348" s="124">
        <v>57</v>
      </c>
      <c r="AB348" s="153"/>
      <c r="AC348" s="154">
        <f t="shared" si="73"/>
        <v>22.181142857142856</v>
      </c>
      <c r="AD348" s="161">
        <v>5</v>
      </c>
      <c r="AE348" s="162">
        <v>20</v>
      </c>
      <c r="AF348" s="163">
        <v>7</v>
      </c>
      <c r="AG348" s="167" t="str">
        <f t="shared" si="66"/>
        <v/>
      </c>
      <c r="AH348" s="168">
        <f t="shared" si="67"/>
        <v>-1.1400000000000001</v>
      </c>
      <c r="AI348" s="168" t="str">
        <f t="shared" si="68"/>
        <v/>
      </c>
      <c r="AJ348" s="167">
        <f t="shared" si="69"/>
        <v>-3.2571428571428571</v>
      </c>
      <c r="AK348" s="167">
        <f t="shared" si="70"/>
        <v>115341.94285714286</v>
      </c>
      <c r="AL348" s="167" t="str">
        <f t="shared" si="71"/>
        <v/>
      </c>
      <c r="AM348" s="167">
        <f t="shared" si="72"/>
        <v>846.85714285714278</v>
      </c>
    </row>
    <row r="349" spans="1:39" hidden="1" x14ac:dyDescent="0.25">
      <c r="A349" s="128" t="s">
        <v>588</v>
      </c>
      <c r="B349" s="128" t="s">
        <v>588</v>
      </c>
      <c r="C349" s="128" t="s">
        <v>588</v>
      </c>
      <c r="D349" s="128"/>
      <c r="E349" s="128">
        <v>1</v>
      </c>
      <c r="F349" s="128"/>
      <c r="G349" s="128">
        <v>1</v>
      </c>
      <c r="H349" s="128">
        <v>1</v>
      </c>
      <c r="I349" s="128"/>
      <c r="J349" s="166" t="s">
        <v>166</v>
      </c>
      <c r="K349" s="157" t="s">
        <v>672</v>
      </c>
      <c r="L349" s="148">
        <v>4.3</v>
      </c>
      <c r="M349" s="148">
        <v>14</v>
      </c>
      <c r="N349" s="157"/>
      <c r="O349" s="157"/>
      <c r="P349" s="157"/>
      <c r="Q349" s="157"/>
      <c r="R349" s="148">
        <v>14</v>
      </c>
      <c r="S349" s="149">
        <v>3788</v>
      </c>
      <c r="T349" s="158" t="s">
        <v>46</v>
      </c>
      <c r="U349" s="150">
        <v>3756</v>
      </c>
      <c r="V349" s="159">
        <f t="shared" si="63"/>
        <v>-32</v>
      </c>
      <c r="W349" s="160"/>
      <c r="X349" s="161"/>
      <c r="Y349" s="124">
        <v>1</v>
      </c>
      <c r="Z349" s="124">
        <v>0</v>
      </c>
      <c r="AA349" s="124">
        <v>54</v>
      </c>
      <c r="AB349" s="153"/>
      <c r="AC349" s="154">
        <f t="shared" si="73"/>
        <v>14.610857142857142</v>
      </c>
      <c r="AD349" s="161">
        <v>5</v>
      </c>
      <c r="AE349" s="162">
        <v>25</v>
      </c>
      <c r="AF349" s="163">
        <v>14</v>
      </c>
      <c r="AG349" s="167" t="str">
        <f t="shared" si="66"/>
        <v/>
      </c>
      <c r="AH349" s="168">
        <f t="shared" si="67"/>
        <v>-1.728</v>
      </c>
      <c r="AI349" s="168" t="str">
        <f t="shared" si="68"/>
        <v/>
      </c>
      <c r="AJ349" s="167">
        <f t="shared" si="69"/>
        <v>-3.0857142857142859</v>
      </c>
      <c r="AK349" s="167">
        <f t="shared" si="70"/>
        <v>94970.57142857142</v>
      </c>
      <c r="AL349" s="167" t="str">
        <f t="shared" si="71"/>
        <v/>
      </c>
      <c r="AM349" s="167">
        <f t="shared" si="72"/>
        <v>802.28571428571433</v>
      </c>
    </row>
    <row r="350" spans="1:39" hidden="1" x14ac:dyDescent="0.25">
      <c r="A350" s="128" t="s">
        <v>673</v>
      </c>
      <c r="B350" s="128" t="s">
        <v>42</v>
      </c>
      <c r="C350" s="128" t="s">
        <v>674</v>
      </c>
      <c r="D350" s="128"/>
      <c r="E350" s="128">
        <v>1</v>
      </c>
      <c r="F350" s="128"/>
      <c r="G350" s="128">
        <v>1</v>
      </c>
      <c r="H350" s="128">
        <v>1</v>
      </c>
      <c r="I350" s="128"/>
      <c r="J350" s="166" t="s">
        <v>102</v>
      </c>
      <c r="K350" s="157" t="s">
        <v>675</v>
      </c>
      <c r="L350" s="148">
        <v>4.3</v>
      </c>
      <c r="M350" s="148">
        <v>12</v>
      </c>
      <c r="N350" s="157"/>
      <c r="O350" s="157"/>
      <c r="P350" s="157"/>
      <c r="Q350" s="157"/>
      <c r="R350" s="148">
        <v>12</v>
      </c>
      <c r="S350" s="149">
        <v>4148</v>
      </c>
      <c r="T350" s="158" t="s">
        <v>46</v>
      </c>
      <c r="U350" s="150">
        <v>4084</v>
      </c>
      <c r="V350" s="159">
        <f t="shared" si="63"/>
        <v>-64</v>
      </c>
      <c r="W350" s="160"/>
      <c r="X350" s="161"/>
      <c r="Y350" s="124">
        <v>1</v>
      </c>
      <c r="Z350" s="124">
        <v>0</v>
      </c>
      <c r="AA350" s="124">
        <v>30</v>
      </c>
      <c r="AB350" s="153"/>
      <c r="AC350" s="154">
        <f t="shared" si="73"/>
        <v>10.37</v>
      </c>
      <c r="AD350" s="161">
        <v>5</v>
      </c>
      <c r="AE350" s="162">
        <v>50</v>
      </c>
      <c r="AF350" s="163">
        <v>12</v>
      </c>
      <c r="AG350" s="167" t="str">
        <f t="shared" si="66"/>
        <v/>
      </c>
      <c r="AH350" s="168">
        <f t="shared" si="67"/>
        <v>-1.9199999999999997</v>
      </c>
      <c r="AI350" s="168" t="str">
        <f t="shared" si="68"/>
        <v/>
      </c>
      <c r="AJ350" s="167">
        <f t="shared" si="69"/>
        <v>-7.9999999999999991</v>
      </c>
      <c r="AK350" s="167">
        <f t="shared" si="70"/>
        <v>134810</v>
      </c>
      <c r="AL350" s="167" t="str">
        <f t="shared" si="71"/>
        <v/>
      </c>
      <c r="AM350" s="167">
        <f t="shared" si="72"/>
        <v>2079.9999999999995</v>
      </c>
    </row>
    <row r="351" spans="1:39" hidden="1" x14ac:dyDescent="0.25">
      <c r="A351" s="128" t="s">
        <v>588</v>
      </c>
      <c r="B351" s="128" t="s">
        <v>588</v>
      </c>
      <c r="C351" s="128" t="s">
        <v>588</v>
      </c>
      <c r="D351" s="128"/>
      <c r="E351" s="128">
        <v>1</v>
      </c>
      <c r="F351" s="128"/>
      <c r="G351" s="128">
        <v>1</v>
      </c>
      <c r="H351" s="128">
        <v>1</v>
      </c>
      <c r="I351" s="128"/>
      <c r="J351" s="166" t="s">
        <v>166</v>
      </c>
      <c r="K351" s="157" t="s">
        <v>676</v>
      </c>
      <c r="L351" s="148">
        <v>4.3</v>
      </c>
      <c r="M351" s="148">
        <v>9</v>
      </c>
      <c r="N351" s="157"/>
      <c r="O351" s="157"/>
      <c r="P351" s="157"/>
      <c r="Q351" s="157"/>
      <c r="R351" s="148">
        <v>9</v>
      </c>
      <c r="S351" s="149">
        <v>4500</v>
      </c>
      <c r="T351" s="158" t="s">
        <v>46</v>
      </c>
      <c r="U351" s="150">
        <v>4388</v>
      </c>
      <c r="V351" s="159">
        <f t="shared" si="63"/>
        <v>-112</v>
      </c>
      <c r="W351" s="160"/>
      <c r="X351" s="161"/>
      <c r="Y351" s="124">
        <v>1</v>
      </c>
      <c r="Z351" s="124">
        <v>0</v>
      </c>
      <c r="AA351" s="124">
        <v>35</v>
      </c>
      <c r="AB351" s="153"/>
      <c r="AC351" s="154">
        <f t="shared" si="73"/>
        <v>17.500000000000004</v>
      </c>
      <c r="AD351" s="161">
        <v>4</v>
      </c>
      <c r="AE351" s="162">
        <v>25</v>
      </c>
      <c r="AF351" s="163">
        <v>9</v>
      </c>
      <c r="AG351" s="167" t="str">
        <f t="shared" si="66"/>
        <v/>
      </c>
      <c r="AH351" s="168">
        <f t="shared" si="67"/>
        <v>-3.9200000000000008</v>
      </c>
      <c r="AI351" s="168" t="str">
        <f t="shared" si="68"/>
        <v/>
      </c>
      <c r="AJ351" s="167">
        <f t="shared" si="69"/>
        <v>-10.888888888888891</v>
      </c>
      <c r="AK351" s="167">
        <f t="shared" si="70"/>
        <v>91000.000000000029</v>
      </c>
      <c r="AL351" s="167" t="str">
        <f t="shared" si="71"/>
        <v/>
      </c>
      <c r="AM351" s="167">
        <f t="shared" si="72"/>
        <v>2264.8888888888891</v>
      </c>
    </row>
    <row r="352" spans="1:39" hidden="1" x14ac:dyDescent="0.25">
      <c r="A352" s="128" t="s">
        <v>588</v>
      </c>
      <c r="B352" s="128" t="s">
        <v>588</v>
      </c>
      <c r="C352" s="128" t="s">
        <v>588</v>
      </c>
      <c r="D352" s="128"/>
      <c r="E352" s="128">
        <v>1</v>
      </c>
      <c r="F352" s="128"/>
      <c r="G352" s="128"/>
      <c r="H352" s="128"/>
      <c r="I352" s="128"/>
      <c r="J352" s="166" t="s">
        <v>166</v>
      </c>
      <c r="K352" s="157" t="s">
        <v>677</v>
      </c>
      <c r="L352" s="148">
        <v>4.3</v>
      </c>
      <c r="M352" s="148">
        <v>10</v>
      </c>
      <c r="N352" s="157"/>
      <c r="O352" s="157"/>
      <c r="P352" s="157"/>
      <c r="Q352" s="157"/>
      <c r="R352" s="148">
        <v>10</v>
      </c>
      <c r="S352" s="149">
        <v>5000</v>
      </c>
      <c r="T352" s="158" t="s">
        <v>46</v>
      </c>
      <c r="U352" s="150">
        <v>5006</v>
      </c>
      <c r="V352" s="159">
        <f t="shared" ref="V352:V376" si="74">-S352+U352</f>
        <v>6</v>
      </c>
      <c r="W352" s="160"/>
      <c r="X352" s="161"/>
      <c r="Y352" s="124">
        <v>1</v>
      </c>
      <c r="Z352" s="124">
        <v>0</v>
      </c>
      <c r="AA352" s="124">
        <v>39</v>
      </c>
      <c r="AB352" s="153"/>
      <c r="AC352" s="154">
        <f t="shared" si="73"/>
        <v>19.5</v>
      </c>
      <c r="AD352" s="161">
        <v>4</v>
      </c>
      <c r="AE352" s="162">
        <v>25</v>
      </c>
      <c r="AF352" s="163">
        <v>10</v>
      </c>
      <c r="AG352" s="167">
        <f t="shared" si="66"/>
        <v>0.23399999999999999</v>
      </c>
      <c r="AH352" s="168" t="str">
        <f t="shared" si="67"/>
        <v/>
      </c>
      <c r="AI352" s="168">
        <f t="shared" si="68"/>
        <v>0.58499999999999996</v>
      </c>
      <c r="AJ352" s="167" t="str">
        <f t="shared" si="69"/>
        <v/>
      </c>
      <c r="AK352" s="167">
        <f t="shared" si="70"/>
        <v>101400</v>
      </c>
      <c r="AL352" s="167">
        <f t="shared" si="71"/>
        <v>121.67999999999999</v>
      </c>
      <c r="AM352" s="167" t="str">
        <f t="shared" si="72"/>
        <v/>
      </c>
    </row>
    <row r="353" spans="1:39" hidden="1" x14ac:dyDescent="0.25">
      <c r="A353" s="128" t="s">
        <v>678</v>
      </c>
      <c r="B353" s="128" t="s">
        <v>205</v>
      </c>
      <c r="C353" s="128" t="s">
        <v>679</v>
      </c>
      <c r="D353" s="128"/>
      <c r="E353" s="128">
        <v>1</v>
      </c>
      <c r="F353" s="128"/>
      <c r="G353" s="128">
        <v>1</v>
      </c>
      <c r="H353" s="128">
        <v>1</v>
      </c>
      <c r="I353" s="128"/>
      <c r="J353" s="166" t="s">
        <v>181</v>
      </c>
      <c r="K353" s="157" t="s">
        <v>680</v>
      </c>
      <c r="L353" s="148">
        <v>4.3</v>
      </c>
      <c r="M353" s="148">
        <v>8</v>
      </c>
      <c r="N353" s="157"/>
      <c r="O353" s="157"/>
      <c r="P353" s="157"/>
      <c r="Q353" s="157"/>
      <c r="R353" s="148">
        <v>8</v>
      </c>
      <c r="S353" s="149">
        <v>10576</v>
      </c>
      <c r="T353" s="158" t="s">
        <v>46</v>
      </c>
      <c r="U353" s="150">
        <v>10576</v>
      </c>
      <c r="V353" s="159">
        <f t="shared" si="74"/>
        <v>0</v>
      </c>
      <c r="W353" s="160"/>
      <c r="X353" s="161"/>
      <c r="Y353" s="124">
        <v>1</v>
      </c>
      <c r="Z353" s="124">
        <v>0</v>
      </c>
      <c r="AA353" s="124">
        <v>30</v>
      </c>
      <c r="AB353" s="153"/>
      <c r="AC353" s="154">
        <f t="shared" si="73"/>
        <v>39.659999999999997</v>
      </c>
      <c r="AD353" s="161">
        <v>4</v>
      </c>
      <c r="AE353" s="162">
        <v>8</v>
      </c>
      <c r="AF353" s="163">
        <v>25</v>
      </c>
      <c r="AG353" s="167">
        <f t="shared" si="66"/>
        <v>0</v>
      </c>
      <c r="AH353" s="168">
        <f t="shared" si="67"/>
        <v>0</v>
      </c>
      <c r="AI353" s="168">
        <f t="shared" si="68"/>
        <v>0</v>
      </c>
      <c r="AJ353" s="167">
        <f t="shared" si="69"/>
        <v>0</v>
      </c>
      <c r="AK353" s="167">
        <f t="shared" si="70"/>
        <v>65994.239999999991</v>
      </c>
      <c r="AL353" s="167">
        <f t="shared" si="71"/>
        <v>0</v>
      </c>
      <c r="AM353" s="167">
        <f t="shared" si="72"/>
        <v>0</v>
      </c>
    </row>
    <row r="354" spans="1:39" hidden="1" x14ac:dyDescent="0.25">
      <c r="A354" s="128" t="s">
        <v>588</v>
      </c>
      <c r="B354" s="128" t="s">
        <v>588</v>
      </c>
      <c r="C354" s="128" t="s">
        <v>588</v>
      </c>
      <c r="D354" s="128"/>
      <c r="E354" s="128">
        <v>1</v>
      </c>
      <c r="F354" s="128"/>
      <c r="G354" s="128">
        <v>1</v>
      </c>
      <c r="H354" s="128">
        <v>1</v>
      </c>
      <c r="I354" s="128"/>
      <c r="J354" s="166" t="s">
        <v>181</v>
      </c>
      <c r="K354" s="157" t="s">
        <v>681</v>
      </c>
      <c r="L354" s="148">
        <v>4.3</v>
      </c>
      <c r="M354" s="148">
        <v>8</v>
      </c>
      <c r="N354" s="157"/>
      <c r="O354" s="157"/>
      <c r="P354" s="157"/>
      <c r="Q354" s="157"/>
      <c r="R354" s="148">
        <v>8</v>
      </c>
      <c r="S354" s="149">
        <v>5088</v>
      </c>
      <c r="T354" s="158" t="s">
        <v>46</v>
      </c>
      <c r="U354" s="150">
        <v>5078</v>
      </c>
      <c r="V354" s="159">
        <f t="shared" si="74"/>
        <v>-10</v>
      </c>
      <c r="W354" s="160"/>
      <c r="X354" s="161"/>
      <c r="Y354" s="124">
        <v>1</v>
      </c>
      <c r="Z354" s="124">
        <v>0</v>
      </c>
      <c r="AA354" s="124">
        <v>35</v>
      </c>
      <c r="AB354" s="153"/>
      <c r="AC354" s="154">
        <f t="shared" si="73"/>
        <v>22.26</v>
      </c>
      <c r="AD354" s="161">
        <v>4</v>
      </c>
      <c r="AE354" s="162">
        <v>8</v>
      </c>
      <c r="AF354" s="163">
        <v>30</v>
      </c>
      <c r="AG354" s="167" t="str">
        <f t="shared" si="66"/>
        <v/>
      </c>
      <c r="AH354" s="168">
        <f t="shared" si="67"/>
        <v>-1.3125000000000002</v>
      </c>
      <c r="AI354" s="168" t="str">
        <f t="shared" si="68"/>
        <v/>
      </c>
      <c r="AJ354" s="167">
        <f t="shared" si="69"/>
        <v>-0.35000000000000003</v>
      </c>
      <c r="AK354" s="167">
        <f t="shared" si="70"/>
        <v>37040.639999999999</v>
      </c>
      <c r="AL354" s="167" t="str">
        <f t="shared" si="71"/>
        <v/>
      </c>
      <c r="AM354" s="167">
        <f t="shared" si="72"/>
        <v>72.800000000000011</v>
      </c>
    </row>
    <row r="355" spans="1:39" hidden="1" x14ac:dyDescent="0.25">
      <c r="A355" s="128" t="s">
        <v>682</v>
      </c>
      <c r="B355" s="128" t="s">
        <v>205</v>
      </c>
      <c r="C355" s="128" t="s">
        <v>683</v>
      </c>
      <c r="D355" s="128"/>
      <c r="E355" s="128">
        <v>1</v>
      </c>
      <c r="F355" s="128"/>
      <c r="G355" s="128"/>
      <c r="H355" s="128"/>
      <c r="I355" s="128"/>
      <c r="J355" s="166" t="s">
        <v>166</v>
      </c>
      <c r="K355" s="157" t="s">
        <v>607</v>
      </c>
      <c r="L355" s="148">
        <v>4.3</v>
      </c>
      <c r="M355" s="148">
        <v>14</v>
      </c>
      <c r="N355" s="157"/>
      <c r="O355" s="157"/>
      <c r="P355" s="157"/>
      <c r="Q355" s="157"/>
      <c r="R355" s="148">
        <v>14</v>
      </c>
      <c r="S355" s="149">
        <v>4116</v>
      </c>
      <c r="T355" s="158" t="s">
        <v>46</v>
      </c>
      <c r="U355" s="150">
        <v>4116</v>
      </c>
      <c r="V355" s="159">
        <f t="shared" si="74"/>
        <v>0</v>
      </c>
      <c r="W355" s="160"/>
      <c r="X355" s="161"/>
      <c r="Y355" s="124">
        <v>1</v>
      </c>
      <c r="Z355" s="124">
        <v>0</v>
      </c>
      <c r="AA355" s="124">
        <v>38</v>
      </c>
      <c r="AB355" s="153"/>
      <c r="AC355" s="154">
        <f t="shared" si="73"/>
        <v>11.171999999999999</v>
      </c>
      <c r="AD355" s="161">
        <v>5</v>
      </c>
      <c r="AE355" s="162">
        <v>14</v>
      </c>
      <c r="AF355" s="163">
        <v>26</v>
      </c>
      <c r="AG355" s="167">
        <f t="shared" si="66"/>
        <v>0</v>
      </c>
      <c r="AH355" s="168">
        <f t="shared" si="67"/>
        <v>0</v>
      </c>
      <c r="AI355" s="168">
        <f t="shared" si="68"/>
        <v>0</v>
      </c>
      <c r="AJ355" s="167">
        <f t="shared" si="69"/>
        <v>0</v>
      </c>
      <c r="AK355" s="167">
        <f t="shared" si="70"/>
        <v>40666.080000000002</v>
      </c>
      <c r="AL355" s="167">
        <f t="shared" si="71"/>
        <v>0</v>
      </c>
      <c r="AM355" s="167">
        <f t="shared" si="72"/>
        <v>0</v>
      </c>
    </row>
    <row r="356" spans="1:39" hidden="1" x14ac:dyDescent="0.25">
      <c r="A356" s="128" t="s">
        <v>588</v>
      </c>
      <c r="B356" s="128" t="s">
        <v>588</v>
      </c>
      <c r="C356" s="128" t="s">
        <v>588</v>
      </c>
      <c r="D356" s="128"/>
      <c r="E356" s="128">
        <v>1</v>
      </c>
      <c r="F356" s="128"/>
      <c r="G356" s="128"/>
      <c r="H356" s="128"/>
      <c r="I356" s="128"/>
      <c r="J356" s="166" t="s">
        <v>166</v>
      </c>
      <c r="K356" s="157" t="s">
        <v>684</v>
      </c>
      <c r="L356" s="148">
        <v>4.3</v>
      </c>
      <c r="M356" s="148">
        <v>11</v>
      </c>
      <c r="N356" s="157"/>
      <c r="O356" s="157"/>
      <c r="P356" s="157"/>
      <c r="Q356" s="157"/>
      <c r="R356" s="148">
        <v>11</v>
      </c>
      <c r="S356" s="149">
        <v>5882</v>
      </c>
      <c r="T356" s="158" t="s">
        <v>46</v>
      </c>
      <c r="U356" s="150">
        <v>5894</v>
      </c>
      <c r="V356" s="159">
        <f t="shared" si="74"/>
        <v>12</v>
      </c>
      <c r="W356" s="160"/>
      <c r="X356" s="161"/>
      <c r="Y356" s="124">
        <v>1</v>
      </c>
      <c r="Z356" s="124">
        <v>0</v>
      </c>
      <c r="AA356" s="124">
        <v>42</v>
      </c>
      <c r="AB356" s="153"/>
      <c r="AC356" s="154">
        <f t="shared" si="73"/>
        <v>22.458545454545455</v>
      </c>
      <c r="AD356" s="161">
        <v>5</v>
      </c>
      <c r="AE356" s="162">
        <v>11</v>
      </c>
      <c r="AF356" s="163">
        <v>20</v>
      </c>
      <c r="AG356" s="167">
        <f t="shared" si="66"/>
        <v>0.91636363636363638</v>
      </c>
      <c r="AH356" s="168" t="str">
        <f t="shared" si="67"/>
        <v/>
      </c>
      <c r="AI356" s="168">
        <f t="shared" si="68"/>
        <v>0.504</v>
      </c>
      <c r="AJ356" s="167" t="str">
        <f t="shared" si="69"/>
        <v/>
      </c>
      <c r="AK356" s="167">
        <f t="shared" si="70"/>
        <v>64231.44</v>
      </c>
      <c r="AL356" s="167">
        <f t="shared" si="71"/>
        <v>131.04</v>
      </c>
      <c r="AM356" s="167" t="str">
        <f t="shared" si="72"/>
        <v/>
      </c>
    </row>
    <row r="357" spans="1:39" hidden="1" x14ac:dyDescent="0.25">
      <c r="A357" s="128" t="s">
        <v>588</v>
      </c>
      <c r="B357" s="128" t="s">
        <v>588</v>
      </c>
      <c r="C357" s="128" t="s">
        <v>588</v>
      </c>
      <c r="D357" s="128"/>
      <c r="E357" s="128">
        <v>1</v>
      </c>
      <c r="F357" s="128"/>
      <c r="G357" s="128"/>
      <c r="H357" s="128"/>
      <c r="I357" s="128"/>
      <c r="J357" s="166" t="s">
        <v>166</v>
      </c>
      <c r="K357" s="157" t="s">
        <v>685</v>
      </c>
      <c r="L357" s="148">
        <v>4.3</v>
      </c>
      <c r="M357" s="148">
        <v>8</v>
      </c>
      <c r="N357" s="157"/>
      <c r="O357" s="157"/>
      <c r="P357" s="157"/>
      <c r="Q357" s="157"/>
      <c r="R357" s="148">
        <v>8</v>
      </c>
      <c r="S357" s="149">
        <v>1702</v>
      </c>
      <c r="T357" s="158" t="s">
        <v>46</v>
      </c>
      <c r="U357" s="150">
        <v>1704</v>
      </c>
      <c r="V357" s="159">
        <f t="shared" si="74"/>
        <v>2</v>
      </c>
      <c r="W357" s="160"/>
      <c r="X357" s="161"/>
      <c r="Y357" s="124">
        <v>1</v>
      </c>
      <c r="Z357" s="124">
        <v>0</v>
      </c>
      <c r="AA357" s="124">
        <v>40</v>
      </c>
      <c r="AB357" s="153"/>
      <c r="AC357" s="154">
        <f t="shared" si="73"/>
        <v>8.51</v>
      </c>
      <c r="AD357" s="161">
        <v>5</v>
      </c>
      <c r="AE357" s="162">
        <v>8</v>
      </c>
      <c r="AF357" s="163">
        <v>15</v>
      </c>
      <c r="AG357" s="167">
        <f t="shared" si="66"/>
        <v>0.15</v>
      </c>
      <c r="AH357" s="168" t="str">
        <f t="shared" si="67"/>
        <v/>
      </c>
      <c r="AI357" s="168">
        <f t="shared" si="68"/>
        <v>0.08</v>
      </c>
      <c r="AJ357" s="167" t="str">
        <f t="shared" si="69"/>
        <v/>
      </c>
      <c r="AK357" s="167">
        <f t="shared" si="70"/>
        <v>17700.8</v>
      </c>
      <c r="AL357" s="167">
        <f t="shared" si="71"/>
        <v>20.8</v>
      </c>
      <c r="AM357" s="167" t="str">
        <f t="shared" si="72"/>
        <v/>
      </c>
    </row>
    <row r="358" spans="1:39" hidden="1" x14ac:dyDescent="0.25">
      <c r="A358" s="128" t="s">
        <v>686</v>
      </c>
      <c r="B358" s="128" t="s">
        <v>687</v>
      </c>
      <c r="C358" s="128" t="s">
        <v>688</v>
      </c>
      <c r="D358" s="128"/>
      <c r="E358" s="128">
        <v>1</v>
      </c>
      <c r="F358" s="128"/>
      <c r="G358" s="128"/>
      <c r="H358" s="128"/>
      <c r="I358" s="128"/>
      <c r="J358" s="166" t="s">
        <v>181</v>
      </c>
      <c r="K358" s="157" t="s">
        <v>689</v>
      </c>
      <c r="L358" s="148">
        <v>4.3</v>
      </c>
      <c r="M358" s="148">
        <v>12</v>
      </c>
      <c r="N358" s="157"/>
      <c r="O358" s="157"/>
      <c r="P358" s="157"/>
      <c r="Q358" s="157"/>
      <c r="R358" s="148">
        <v>12</v>
      </c>
      <c r="S358" s="149">
        <v>6792</v>
      </c>
      <c r="T358" s="158" t="s">
        <v>46</v>
      </c>
      <c r="U358" s="150">
        <v>6801</v>
      </c>
      <c r="V358" s="159">
        <f t="shared" si="74"/>
        <v>9</v>
      </c>
      <c r="W358" s="160"/>
      <c r="X358" s="161"/>
      <c r="Y358" s="124">
        <v>1</v>
      </c>
      <c r="Z358" s="124">
        <v>0</v>
      </c>
      <c r="AA358" s="124">
        <v>60</v>
      </c>
      <c r="AB358" s="153"/>
      <c r="AC358" s="154">
        <f t="shared" si="73"/>
        <v>33.96</v>
      </c>
      <c r="AD358" s="161">
        <v>4</v>
      </c>
      <c r="AE358" s="162">
        <v>35</v>
      </c>
      <c r="AF358" s="163">
        <v>12</v>
      </c>
      <c r="AG358" s="167">
        <f t="shared" si="66"/>
        <v>0.54</v>
      </c>
      <c r="AH358" s="168" t="str">
        <f t="shared" si="67"/>
        <v/>
      </c>
      <c r="AI358" s="168">
        <f t="shared" si="68"/>
        <v>1.575</v>
      </c>
      <c r="AJ358" s="167" t="str">
        <f t="shared" si="69"/>
        <v/>
      </c>
      <c r="AK358" s="167">
        <f t="shared" si="70"/>
        <v>247228.80000000002</v>
      </c>
      <c r="AL358" s="167">
        <f t="shared" si="71"/>
        <v>327.59999999999997</v>
      </c>
      <c r="AM358" s="167" t="str">
        <f t="shared" si="72"/>
        <v/>
      </c>
    </row>
    <row r="359" spans="1:39" hidden="1" x14ac:dyDescent="0.25">
      <c r="A359" s="128" t="s">
        <v>588</v>
      </c>
      <c r="B359" s="128" t="s">
        <v>588</v>
      </c>
      <c r="C359" s="128" t="s">
        <v>588</v>
      </c>
      <c r="D359" s="128"/>
      <c r="E359" s="128">
        <v>1</v>
      </c>
      <c r="F359" s="128"/>
      <c r="G359" s="128"/>
      <c r="H359" s="128"/>
      <c r="I359" s="128"/>
      <c r="J359" s="166" t="s">
        <v>154</v>
      </c>
      <c r="K359" s="157" t="s">
        <v>690</v>
      </c>
      <c r="L359" s="148">
        <v>4.3</v>
      </c>
      <c r="M359" s="148">
        <v>12</v>
      </c>
      <c r="N359" s="157"/>
      <c r="O359" s="157"/>
      <c r="P359" s="157"/>
      <c r="Q359" s="157"/>
      <c r="R359" s="148">
        <v>12</v>
      </c>
      <c r="S359" s="149">
        <v>4582</v>
      </c>
      <c r="T359" s="158" t="s">
        <v>46</v>
      </c>
      <c r="U359" s="150">
        <v>4587</v>
      </c>
      <c r="V359" s="159">
        <f t="shared" si="74"/>
        <v>5</v>
      </c>
      <c r="W359" s="160"/>
      <c r="X359" s="161"/>
      <c r="Y359" s="124">
        <v>1</v>
      </c>
      <c r="Z359" s="124">
        <v>0</v>
      </c>
      <c r="AA359" s="124">
        <v>66</v>
      </c>
      <c r="AB359" s="153"/>
      <c r="AC359" s="154">
        <f t="shared" si="73"/>
        <v>25.201000000000004</v>
      </c>
      <c r="AD359" s="161">
        <v>4</v>
      </c>
      <c r="AE359" s="162">
        <v>36</v>
      </c>
      <c r="AF359" s="163">
        <v>15</v>
      </c>
      <c r="AG359" s="167">
        <f t="shared" si="66"/>
        <v>0.41250000000000003</v>
      </c>
      <c r="AH359" s="168" t="str">
        <f t="shared" si="67"/>
        <v/>
      </c>
      <c r="AI359" s="168">
        <f t="shared" si="68"/>
        <v>0.9900000000000001</v>
      </c>
      <c r="AJ359" s="167" t="str">
        <f t="shared" si="69"/>
        <v/>
      </c>
      <c r="AK359" s="167">
        <f t="shared" si="70"/>
        <v>188705.08800000002</v>
      </c>
      <c r="AL359" s="167">
        <f t="shared" si="71"/>
        <v>205.92000000000002</v>
      </c>
      <c r="AM359" s="167" t="str">
        <f t="shared" si="72"/>
        <v/>
      </c>
    </row>
    <row r="360" spans="1:39" ht="26.25" hidden="1" x14ac:dyDescent="0.25">
      <c r="A360" s="128" t="s">
        <v>588</v>
      </c>
      <c r="B360" s="128" t="s">
        <v>588</v>
      </c>
      <c r="C360" s="128" t="s">
        <v>588</v>
      </c>
      <c r="D360" s="128"/>
      <c r="E360" s="128">
        <v>1</v>
      </c>
      <c r="F360" s="128"/>
      <c r="G360" s="128"/>
      <c r="H360" s="128"/>
      <c r="I360" s="128"/>
      <c r="J360" s="166" t="s">
        <v>117</v>
      </c>
      <c r="K360" s="157" t="s">
        <v>691</v>
      </c>
      <c r="L360" s="148">
        <v>4.3</v>
      </c>
      <c r="M360" s="148">
        <v>13</v>
      </c>
      <c r="N360" s="157"/>
      <c r="O360" s="157"/>
      <c r="P360" s="157"/>
      <c r="Q360" s="157"/>
      <c r="R360" s="148">
        <v>13</v>
      </c>
      <c r="S360" s="149">
        <v>5372</v>
      </c>
      <c r="T360" s="158" t="s">
        <v>46</v>
      </c>
      <c r="U360" s="150">
        <v>5378</v>
      </c>
      <c r="V360" s="159">
        <f t="shared" si="74"/>
        <v>6</v>
      </c>
      <c r="W360" s="160"/>
      <c r="X360" s="161"/>
      <c r="Y360" s="124">
        <v>1</v>
      </c>
      <c r="Z360" s="124">
        <v>0</v>
      </c>
      <c r="AA360" s="124">
        <v>70</v>
      </c>
      <c r="AB360" s="153"/>
      <c r="AC360" s="154">
        <f t="shared" si="73"/>
        <v>28.926153846153849</v>
      </c>
      <c r="AD360" s="161">
        <v>4</v>
      </c>
      <c r="AE360" s="162">
        <v>34</v>
      </c>
      <c r="AF360" s="163">
        <v>17</v>
      </c>
      <c r="AG360" s="167">
        <f t="shared" si="66"/>
        <v>0.54923076923076941</v>
      </c>
      <c r="AH360" s="168" t="str">
        <f t="shared" si="67"/>
        <v/>
      </c>
      <c r="AI360" s="168">
        <f t="shared" si="68"/>
        <v>1.0984615384615388</v>
      </c>
      <c r="AJ360" s="167" t="str">
        <f t="shared" si="69"/>
        <v/>
      </c>
      <c r="AK360" s="167">
        <f t="shared" si="70"/>
        <v>204565.76000000001</v>
      </c>
      <c r="AL360" s="167">
        <f t="shared" si="71"/>
        <v>228.48000000000008</v>
      </c>
      <c r="AM360" s="167" t="str">
        <f t="shared" si="72"/>
        <v/>
      </c>
    </row>
    <row r="361" spans="1:39" hidden="1" x14ac:dyDescent="0.25">
      <c r="A361" s="128" t="s">
        <v>692</v>
      </c>
      <c r="B361" s="128" t="s">
        <v>42</v>
      </c>
      <c r="C361" s="128" t="s">
        <v>693</v>
      </c>
      <c r="D361" s="128"/>
      <c r="E361" s="128">
        <v>1</v>
      </c>
      <c r="F361" s="128"/>
      <c r="G361" s="128"/>
      <c r="H361" s="128"/>
      <c r="I361" s="128"/>
      <c r="J361" s="166" t="s">
        <v>168</v>
      </c>
      <c r="K361" s="157" t="s">
        <v>694</v>
      </c>
      <c r="L361" s="148">
        <v>4.3</v>
      </c>
      <c r="M361" s="148">
        <v>11</v>
      </c>
      <c r="N361" s="157"/>
      <c r="O361" s="157"/>
      <c r="P361" s="157"/>
      <c r="Q361" s="157"/>
      <c r="R361" s="148">
        <v>11</v>
      </c>
      <c r="S361" s="149">
        <v>3484</v>
      </c>
      <c r="T361" s="158" t="s">
        <v>46</v>
      </c>
      <c r="U361" s="150">
        <v>3486</v>
      </c>
      <c r="V361" s="159">
        <f t="shared" si="74"/>
        <v>2</v>
      </c>
      <c r="W361" s="160"/>
      <c r="X361" s="161"/>
      <c r="Y361" s="124">
        <v>1</v>
      </c>
      <c r="Z361" s="124">
        <v>0</v>
      </c>
      <c r="AA361" s="124">
        <v>90</v>
      </c>
      <c r="AB361" s="153"/>
      <c r="AC361" s="154">
        <f t="shared" si="73"/>
        <v>28.505454545454544</v>
      </c>
      <c r="AD361" s="161">
        <v>5</v>
      </c>
      <c r="AE361" s="162">
        <v>16</v>
      </c>
      <c r="AF361" s="163">
        <v>11</v>
      </c>
      <c r="AG361" s="167">
        <f t="shared" si="66"/>
        <v>0.17999999999999997</v>
      </c>
      <c r="AH361" s="168" t="str">
        <f t="shared" si="67"/>
        <v/>
      </c>
      <c r="AI361" s="168">
        <f t="shared" si="68"/>
        <v>0.26181818181818178</v>
      </c>
      <c r="AJ361" s="167" t="str">
        <f t="shared" si="69"/>
        <v/>
      </c>
      <c r="AK361" s="167">
        <f t="shared" si="70"/>
        <v>118582.69090909092</v>
      </c>
      <c r="AL361" s="167">
        <f t="shared" si="71"/>
        <v>68.072727272727263</v>
      </c>
      <c r="AM361" s="167" t="str">
        <f t="shared" si="72"/>
        <v/>
      </c>
    </row>
    <row r="362" spans="1:39" hidden="1" x14ac:dyDescent="0.25">
      <c r="A362" s="128" t="s">
        <v>588</v>
      </c>
      <c r="B362" s="128" t="s">
        <v>588</v>
      </c>
      <c r="C362" s="128" t="s">
        <v>588</v>
      </c>
      <c r="D362" s="128"/>
      <c r="E362" s="128">
        <v>1</v>
      </c>
      <c r="F362" s="128"/>
      <c r="G362" s="128"/>
      <c r="H362" s="128"/>
      <c r="I362" s="128"/>
      <c r="J362" s="166" t="s">
        <v>168</v>
      </c>
      <c r="K362" s="157" t="s">
        <v>695</v>
      </c>
      <c r="L362" s="148">
        <v>4.3</v>
      </c>
      <c r="M362" s="148">
        <v>8</v>
      </c>
      <c r="N362" s="157"/>
      <c r="O362" s="157"/>
      <c r="P362" s="157"/>
      <c r="Q362" s="157"/>
      <c r="R362" s="148">
        <v>8</v>
      </c>
      <c r="S362" s="149">
        <v>3610</v>
      </c>
      <c r="T362" s="158" t="s">
        <v>46</v>
      </c>
      <c r="U362" s="150">
        <v>3616</v>
      </c>
      <c r="V362" s="159">
        <f t="shared" si="74"/>
        <v>6</v>
      </c>
      <c r="W362" s="160"/>
      <c r="X362" s="161"/>
      <c r="Y362" s="124">
        <v>1</v>
      </c>
      <c r="Z362" s="124">
        <v>0</v>
      </c>
      <c r="AA362" s="124">
        <v>79</v>
      </c>
      <c r="AB362" s="153"/>
      <c r="AC362" s="154">
        <f t="shared" si="73"/>
        <v>35.64875</v>
      </c>
      <c r="AD362" s="161">
        <v>5</v>
      </c>
      <c r="AE362" s="162">
        <v>10</v>
      </c>
      <c r="AF362" s="163">
        <v>8</v>
      </c>
      <c r="AG362" s="167">
        <f t="shared" si="66"/>
        <v>0.47399999999999998</v>
      </c>
      <c r="AH362" s="168" t="str">
        <f t="shared" si="67"/>
        <v/>
      </c>
      <c r="AI362" s="168">
        <f t="shared" si="68"/>
        <v>0.59250000000000003</v>
      </c>
      <c r="AJ362" s="167" t="str">
        <f t="shared" si="69"/>
        <v/>
      </c>
      <c r="AK362" s="167">
        <f t="shared" si="70"/>
        <v>92686.75</v>
      </c>
      <c r="AL362" s="167">
        <f t="shared" si="71"/>
        <v>154.05000000000001</v>
      </c>
      <c r="AM362" s="167" t="str">
        <f t="shared" si="72"/>
        <v/>
      </c>
    </row>
    <row r="363" spans="1:39" hidden="1" x14ac:dyDescent="0.25">
      <c r="A363" s="128" t="s">
        <v>588</v>
      </c>
      <c r="B363" s="128" t="s">
        <v>588</v>
      </c>
      <c r="C363" s="128" t="s">
        <v>588</v>
      </c>
      <c r="D363" s="128"/>
      <c r="E363" s="128">
        <v>1</v>
      </c>
      <c r="F363" s="128"/>
      <c r="G363" s="128"/>
      <c r="H363" s="128"/>
      <c r="I363" s="128"/>
      <c r="J363" s="166" t="s">
        <v>168</v>
      </c>
      <c r="K363" s="157" t="s">
        <v>696</v>
      </c>
      <c r="L363" s="148">
        <v>4.3</v>
      </c>
      <c r="M363" s="148">
        <v>10</v>
      </c>
      <c r="N363" s="157"/>
      <c r="O363" s="157"/>
      <c r="P363" s="157"/>
      <c r="Q363" s="157"/>
      <c r="R363" s="148">
        <v>10</v>
      </c>
      <c r="S363" s="149">
        <v>2406</v>
      </c>
      <c r="T363" s="158" t="s">
        <v>46</v>
      </c>
      <c r="U363" s="150">
        <v>2422</v>
      </c>
      <c r="V363" s="159">
        <f t="shared" si="74"/>
        <v>16</v>
      </c>
      <c r="W363" s="160"/>
      <c r="X363" s="161"/>
      <c r="Y363" s="124">
        <v>1</v>
      </c>
      <c r="Z363" s="124">
        <v>0</v>
      </c>
      <c r="AA363" s="124">
        <v>110</v>
      </c>
      <c r="AB363" s="153"/>
      <c r="AC363" s="154">
        <f t="shared" si="73"/>
        <v>26.466000000000001</v>
      </c>
      <c r="AD363" s="161">
        <v>5</v>
      </c>
      <c r="AE363" s="162">
        <v>10</v>
      </c>
      <c r="AF363" s="163">
        <v>10</v>
      </c>
      <c r="AG363" s="167">
        <f t="shared" si="66"/>
        <v>1.7600000000000002</v>
      </c>
      <c r="AH363" s="168" t="str">
        <f t="shared" si="67"/>
        <v/>
      </c>
      <c r="AI363" s="168">
        <f t="shared" si="68"/>
        <v>1.7600000000000002</v>
      </c>
      <c r="AJ363" s="167" t="str">
        <f t="shared" si="69"/>
        <v/>
      </c>
      <c r="AK363" s="167">
        <f t="shared" si="70"/>
        <v>68811.600000000006</v>
      </c>
      <c r="AL363" s="167">
        <f t="shared" si="71"/>
        <v>457.6</v>
      </c>
      <c r="AM363" s="167" t="str">
        <f t="shared" si="72"/>
        <v/>
      </c>
    </row>
    <row r="364" spans="1:39" hidden="1" x14ac:dyDescent="0.25">
      <c r="A364" s="128" t="s">
        <v>588</v>
      </c>
      <c r="B364" s="128" t="s">
        <v>588</v>
      </c>
      <c r="C364" s="128" t="s">
        <v>588</v>
      </c>
      <c r="D364" s="128"/>
      <c r="E364" s="128">
        <v>1</v>
      </c>
      <c r="F364" s="128"/>
      <c r="G364" s="128"/>
      <c r="H364" s="128"/>
      <c r="I364" s="128"/>
      <c r="J364" s="166" t="s">
        <v>168</v>
      </c>
      <c r="K364" s="157" t="s">
        <v>697</v>
      </c>
      <c r="L364" s="148">
        <v>4.3</v>
      </c>
      <c r="M364" s="148">
        <v>7</v>
      </c>
      <c r="N364" s="157"/>
      <c r="O364" s="157"/>
      <c r="P364" s="157"/>
      <c r="Q364" s="157"/>
      <c r="R364" s="148">
        <v>7</v>
      </c>
      <c r="S364" s="149">
        <v>3236</v>
      </c>
      <c r="T364" s="158" t="s">
        <v>46</v>
      </c>
      <c r="U364" s="150">
        <v>3244</v>
      </c>
      <c r="V364" s="159">
        <f t="shared" si="74"/>
        <v>8</v>
      </c>
      <c r="W364" s="160"/>
      <c r="X364" s="161"/>
      <c r="Y364" s="124">
        <v>1</v>
      </c>
      <c r="Z364" s="124">
        <v>0</v>
      </c>
      <c r="AA364" s="124">
        <v>79</v>
      </c>
      <c r="AB364" s="153"/>
      <c r="AC364" s="154">
        <f t="shared" si="73"/>
        <v>36.520571428571429</v>
      </c>
      <c r="AD364" s="161">
        <v>5</v>
      </c>
      <c r="AE364" s="162">
        <v>13</v>
      </c>
      <c r="AF364" s="163">
        <v>7</v>
      </c>
      <c r="AG364" s="167">
        <f t="shared" si="66"/>
        <v>0.63200000000000001</v>
      </c>
      <c r="AH364" s="168" t="str">
        <f t="shared" si="67"/>
        <v/>
      </c>
      <c r="AI364" s="168">
        <f t="shared" si="68"/>
        <v>1.1737142857142857</v>
      </c>
      <c r="AJ364" s="167" t="str">
        <f t="shared" si="69"/>
        <v/>
      </c>
      <c r="AK364" s="167">
        <f t="shared" si="70"/>
        <v>123439.53142857141</v>
      </c>
      <c r="AL364" s="167">
        <f t="shared" si="71"/>
        <v>305.16571428571427</v>
      </c>
      <c r="AM364" s="167" t="str">
        <f t="shared" si="72"/>
        <v/>
      </c>
    </row>
    <row r="365" spans="1:39" hidden="1" x14ac:dyDescent="0.25">
      <c r="A365" s="128" t="s">
        <v>588</v>
      </c>
      <c r="B365" s="128" t="s">
        <v>588</v>
      </c>
      <c r="C365" s="128" t="s">
        <v>588</v>
      </c>
      <c r="D365" s="128"/>
      <c r="E365" s="128">
        <v>1</v>
      </c>
      <c r="F365" s="128"/>
      <c r="G365" s="128"/>
      <c r="H365" s="128"/>
      <c r="I365" s="128"/>
      <c r="J365" s="166" t="s">
        <v>170</v>
      </c>
      <c r="K365" s="157" t="s">
        <v>698</v>
      </c>
      <c r="L365" s="148">
        <v>4.3</v>
      </c>
      <c r="M365" s="148">
        <v>8</v>
      </c>
      <c r="N365" s="157"/>
      <c r="O365" s="157"/>
      <c r="P365" s="157"/>
      <c r="Q365" s="157"/>
      <c r="R365" s="148">
        <v>8</v>
      </c>
      <c r="S365" s="149">
        <v>5476</v>
      </c>
      <c r="T365" s="158" t="s">
        <v>46</v>
      </c>
      <c r="U365" s="150">
        <v>5482</v>
      </c>
      <c r="V365" s="159">
        <f t="shared" si="74"/>
        <v>6</v>
      </c>
      <c r="W365" s="160"/>
      <c r="X365" s="161"/>
      <c r="Y365" s="124">
        <v>1</v>
      </c>
      <c r="Z365" s="124">
        <v>0</v>
      </c>
      <c r="AA365" s="124">
        <v>39</v>
      </c>
      <c r="AB365" s="153"/>
      <c r="AC365" s="154">
        <f t="shared" si="73"/>
        <v>26.695499999999999</v>
      </c>
      <c r="AD365" s="161">
        <v>5</v>
      </c>
      <c r="AE365" s="162">
        <v>10</v>
      </c>
      <c r="AF365" s="163">
        <v>8</v>
      </c>
      <c r="AG365" s="167">
        <f t="shared" si="66"/>
        <v>0.23399999999999999</v>
      </c>
      <c r="AH365" s="168" t="str">
        <f t="shared" si="67"/>
        <v/>
      </c>
      <c r="AI365" s="168">
        <f t="shared" si="68"/>
        <v>0.29249999999999998</v>
      </c>
      <c r="AJ365" s="167" t="str">
        <f t="shared" si="69"/>
        <v/>
      </c>
      <c r="AK365" s="167">
        <f t="shared" si="70"/>
        <v>69408.299999999988</v>
      </c>
      <c r="AL365" s="167">
        <f t="shared" si="71"/>
        <v>76.05</v>
      </c>
      <c r="AM365" s="167" t="str">
        <f t="shared" si="72"/>
        <v/>
      </c>
    </row>
    <row r="366" spans="1:39" hidden="1" x14ac:dyDescent="0.25">
      <c r="A366" s="128" t="s">
        <v>588</v>
      </c>
      <c r="B366" s="128" t="s">
        <v>588</v>
      </c>
      <c r="C366" s="128" t="s">
        <v>588</v>
      </c>
      <c r="D366" s="128"/>
      <c r="E366" s="128">
        <v>1</v>
      </c>
      <c r="F366" s="128"/>
      <c r="G366" s="128"/>
      <c r="H366" s="128"/>
      <c r="I366" s="128"/>
      <c r="J366" s="166" t="s">
        <v>170</v>
      </c>
      <c r="K366" s="157" t="s">
        <v>699</v>
      </c>
      <c r="L366" s="148">
        <v>4.3</v>
      </c>
      <c r="M366" s="148">
        <v>10</v>
      </c>
      <c r="N366" s="157"/>
      <c r="O366" s="157"/>
      <c r="P366" s="157"/>
      <c r="Q366" s="157"/>
      <c r="R366" s="148">
        <v>10</v>
      </c>
      <c r="S366" s="149">
        <v>3382</v>
      </c>
      <c r="T366" s="158" t="s">
        <v>46</v>
      </c>
      <c r="U366" s="150">
        <v>3384</v>
      </c>
      <c r="V366" s="159">
        <f t="shared" si="74"/>
        <v>2</v>
      </c>
      <c r="W366" s="160"/>
      <c r="X366" s="161"/>
      <c r="Y366" s="124">
        <v>1</v>
      </c>
      <c r="Z366" s="124">
        <v>0</v>
      </c>
      <c r="AA366" s="124">
        <v>69</v>
      </c>
      <c r="AB366" s="153"/>
      <c r="AC366" s="154">
        <f t="shared" si="73"/>
        <v>23.335800000000003</v>
      </c>
      <c r="AD366" s="161">
        <v>5</v>
      </c>
      <c r="AE366" s="162">
        <v>15</v>
      </c>
      <c r="AF366" s="163">
        <v>10</v>
      </c>
      <c r="AG366" s="167">
        <f t="shared" si="66"/>
        <v>0.13800000000000001</v>
      </c>
      <c r="AH366" s="168" t="str">
        <f t="shared" si="67"/>
        <v/>
      </c>
      <c r="AI366" s="168">
        <f t="shared" si="68"/>
        <v>0.20700000000000002</v>
      </c>
      <c r="AJ366" s="167" t="str">
        <f t="shared" si="69"/>
        <v/>
      </c>
      <c r="AK366" s="167">
        <f t="shared" si="70"/>
        <v>91009.62000000001</v>
      </c>
      <c r="AL366" s="167">
        <f t="shared" si="71"/>
        <v>53.820000000000007</v>
      </c>
      <c r="AM366" s="167" t="str">
        <f t="shared" si="72"/>
        <v/>
      </c>
    </row>
    <row r="367" spans="1:39" x14ac:dyDescent="0.25">
      <c r="A367" s="128" t="s">
        <v>588</v>
      </c>
      <c r="B367" s="128" t="s">
        <v>588</v>
      </c>
      <c r="C367" s="128" t="s">
        <v>588</v>
      </c>
      <c r="D367" s="128"/>
      <c r="E367" s="128">
        <v>1</v>
      </c>
      <c r="F367" s="128"/>
      <c r="G367" s="128"/>
      <c r="H367" s="128"/>
      <c r="I367" s="128"/>
      <c r="J367" s="166" t="s">
        <v>141</v>
      </c>
      <c r="K367" s="157" t="s">
        <v>204</v>
      </c>
      <c r="L367" s="148">
        <v>4.5</v>
      </c>
      <c r="M367" s="148">
        <v>27</v>
      </c>
      <c r="N367" s="157"/>
      <c r="O367" s="157"/>
      <c r="P367" s="157"/>
      <c r="Q367" s="157"/>
      <c r="R367" s="148">
        <v>27</v>
      </c>
      <c r="S367" s="149">
        <v>600</v>
      </c>
      <c r="T367" s="158" t="s">
        <v>46</v>
      </c>
      <c r="U367" s="150">
        <v>623</v>
      </c>
      <c r="V367" s="25">
        <f>-S367+U367</f>
        <v>23</v>
      </c>
      <c r="W367" s="160"/>
      <c r="X367" s="161"/>
      <c r="Y367" s="124">
        <v>1</v>
      </c>
      <c r="Z367" s="124">
        <v>0</v>
      </c>
      <c r="AA367" s="124">
        <v>8</v>
      </c>
      <c r="AB367" s="153"/>
      <c r="AC367" s="154">
        <f t="shared" si="73"/>
        <v>0.17777777777777778</v>
      </c>
      <c r="AD367" s="161">
        <v>5</v>
      </c>
      <c r="AE367" s="162">
        <v>45</v>
      </c>
      <c r="AF367" s="163">
        <v>27</v>
      </c>
      <c r="AG367" s="167">
        <f t="shared" si="66"/>
        <v>0.184</v>
      </c>
      <c r="AH367" s="168" t="str">
        <f t="shared" si="67"/>
        <v/>
      </c>
      <c r="AI367" s="168">
        <f t="shared" si="68"/>
        <v>0.30666666666666664</v>
      </c>
      <c r="AJ367" s="167" t="str">
        <f t="shared" si="69"/>
        <v/>
      </c>
      <c r="AK367" s="167">
        <f t="shared" si="70"/>
        <v>2080</v>
      </c>
      <c r="AL367" s="167">
        <f t="shared" si="71"/>
        <v>79.73333333333332</v>
      </c>
      <c r="AM367" s="167" t="str">
        <f t="shared" si="72"/>
        <v/>
      </c>
    </row>
    <row r="368" spans="1:39" hidden="1" x14ac:dyDescent="0.25">
      <c r="A368" s="128" t="s">
        <v>588</v>
      </c>
      <c r="B368" s="128" t="s">
        <v>588</v>
      </c>
      <c r="C368" s="128" t="s">
        <v>588</v>
      </c>
      <c r="D368" s="128"/>
      <c r="E368" s="128">
        <v>1</v>
      </c>
      <c r="F368" s="128"/>
      <c r="G368" s="128">
        <v>1</v>
      </c>
      <c r="H368" s="128">
        <v>1</v>
      </c>
      <c r="I368" s="128"/>
      <c r="J368" s="166" t="s">
        <v>102</v>
      </c>
      <c r="K368" s="157" t="s">
        <v>700</v>
      </c>
      <c r="L368" s="148">
        <v>4.3</v>
      </c>
      <c r="M368" s="148">
        <v>14</v>
      </c>
      <c r="N368" s="157"/>
      <c r="O368" s="157"/>
      <c r="P368" s="157"/>
      <c r="Q368" s="157"/>
      <c r="R368" s="148">
        <v>14</v>
      </c>
      <c r="S368" s="149">
        <v>1354</v>
      </c>
      <c r="T368" s="158" t="s">
        <v>46</v>
      </c>
      <c r="U368" s="150">
        <v>1352</v>
      </c>
      <c r="V368" s="159">
        <f t="shared" si="74"/>
        <v>-2</v>
      </c>
      <c r="W368" s="160"/>
      <c r="X368" s="161"/>
      <c r="Y368" s="124">
        <v>1</v>
      </c>
      <c r="Z368" s="124">
        <v>0</v>
      </c>
      <c r="AA368" s="124">
        <v>56</v>
      </c>
      <c r="AB368" s="153"/>
      <c r="AC368" s="154">
        <f t="shared" si="73"/>
        <v>5.4159999999999995</v>
      </c>
      <c r="AD368" s="161">
        <v>4</v>
      </c>
      <c r="AE368" s="162">
        <v>20</v>
      </c>
      <c r="AF368" s="163">
        <v>14</v>
      </c>
      <c r="AG368" s="167" t="str">
        <f t="shared" si="66"/>
        <v/>
      </c>
      <c r="AH368" s="168">
        <f t="shared" si="67"/>
        <v>-0.11199999999999997</v>
      </c>
      <c r="AI368" s="168" t="str">
        <f t="shared" si="68"/>
        <v/>
      </c>
      <c r="AJ368" s="167">
        <f t="shared" si="69"/>
        <v>-0.15999999999999998</v>
      </c>
      <c r="AK368" s="167">
        <f t="shared" si="70"/>
        <v>22530.559999999998</v>
      </c>
      <c r="AL368" s="167" t="str">
        <f t="shared" si="71"/>
        <v/>
      </c>
      <c r="AM368" s="167">
        <f t="shared" si="72"/>
        <v>33.279999999999994</v>
      </c>
    </row>
    <row r="369" spans="1:39" hidden="1" x14ac:dyDescent="0.25">
      <c r="A369" s="128" t="s">
        <v>588</v>
      </c>
      <c r="B369" s="128" t="s">
        <v>588</v>
      </c>
      <c r="C369" s="128" t="s">
        <v>588</v>
      </c>
      <c r="D369" s="128"/>
      <c r="E369" s="128">
        <v>1</v>
      </c>
      <c r="F369" s="128"/>
      <c r="G369" s="128"/>
      <c r="H369" s="128"/>
      <c r="I369" s="128"/>
      <c r="J369" s="166" t="s">
        <v>102</v>
      </c>
      <c r="K369" s="157" t="s">
        <v>701</v>
      </c>
      <c r="L369" s="148">
        <v>4.3</v>
      </c>
      <c r="M369" s="148">
        <v>10</v>
      </c>
      <c r="N369" s="157"/>
      <c r="O369" s="157"/>
      <c r="P369" s="157"/>
      <c r="Q369" s="157"/>
      <c r="R369" s="148">
        <v>10</v>
      </c>
      <c r="S369" s="149">
        <v>1080</v>
      </c>
      <c r="T369" s="158" t="s">
        <v>46</v>
      </c>
      <c r="U369" s="150">
        <v>1080</v>
      </c>
      <c r="V369" s="159">
        <f t="shared" si="74"/>
        <v>0</v>
      </c>
      <c r="W369" s="160"/>
      <c r="X369" s="161"/>
      <c r="Y369" s="124">
        <v>1</v>
      </c>
      <c r="Z369" s="124">
        <v>0</v>
      </c>
      <c r="AA369" s="124">
        <v>65</v>
      </c>
      <c r="AB369" s="153"/>
      <c r="AC369" s="154">
        <f t="shared" si="73"/>
        <v>7.0200000000000005</v>
      </c>
      <c r="AD369" s="161">
        <v>4</v>
      </c>
      <c r="AE369" s="162">
        <v>15</v>
      </c>
      <c r="AF369" s="163">
        <v>10</v>
      </c>
      <c r="AG369" s="167">
        <f t="shared" si="66"/>
        <v>0</v>
      </c>
      <c r="AH369" s="168">
        <f t="shared" si="67"/>
        <v>0</v>
      </c>
      <c r="AI369" s="168">
        <f t="shared" si="68"/>
        <v>0</v>
      </c>
      <c r="AJ369" s="167">
        <f t="shared" si="69"/>
        <v>0</v>
      </c>
      <c r="AK369" s="167">
        <f t="shared" si="70"/>
        <v>21902.400000000001</v>
      </c>
      <c r="AL369" s="167">
        <f t="shared" si="71"/>
        <v>0</v>
      </c>
      <c r="AM369" s="167">
        <f t="shared" si="72"/>
        <v>0</v>
      </c>
    </row>
    <row r="370" spans="1:39" hidden="1" x14ac:dyDescent="0.25">
      <c r="A370" s="128" t="s">
        <v>588</v>
      </c>
      <c r="B370" s="128" t="s">
        <v>588</v>
      </c>
      <c r="C370" s="128" t="s">
        <v>588</v>
      </c>
      <c r="D370" s="128"/>
      <c r="E370" s="128">
        <v>1</v>
      </c>
      <c r="F370" s="128"/>
      <c r="G370" s="128">
        <v>1</v>
      </c>
      <c r="H370" s="128">
        <v>1</v>
      </c>
      <c r="I370" s="128"/>
      <c r="J370" s="166" t="s">
        <v>102</v>
      </c>
      <c r="K370" s="157" t="s">
        <v>702</v>
      </c>
      <c r="L370" s="148">
        <v>4.3</v>
      </c>
      <c r="M370" s="148">
        <v>14</v>
      </c>
      <c r="N370" s="157"/>
      <c r="O370" s="157"/>
      <c r="P370" s="157"/>
      <c r="Q370" s="157"/>
      <c r="R370" s="148">
        <v>14</v>
      </c>
      <c r="S370" s="149">
        <v>1148</v>
      </c>
      <c r="T370" s="158" t="s">
        <v>46</v>
      </c>
      <c r="U370" s="150">
        <v>1144</v>
      </c>
      <c r="V370" s="159">
        <f t="shared" si="74"/>
        <v>-4</v>
      </c>
      <c r="W370" s="160"/>
      <c r="X370" s="161"/>
      <c r="Y370" s="124">
        <v>1</v>
      </c>
      <c r="Z370" s="124">
        <v>0</v>
      </c>
      <c r="AA370" s="124">
        <v>53</v>
      </c>
      <c r="AB370" s="153"/>
      <c r="AC370" s="154">
        <f t="shared" si="73"/>
        <v>4.3460000000000001</v>
      </c>
      <c r="AD370" s="161">
        <v>4</v>
      </c>
      <c r="AE370" s="162">
        <v>20</v>
      </c>
      <c r="AF370" s="163">
        <v>14</v>
      </c>
      <c r="AG370" s="167" t="str">
        <f t="shared" si="66"/>
        <v/>
      </c>
      <c r="AH370" s="168">
        <f t="shared" si="67"/>
        <v>-0.21200000000000002</v>
      </c>
      <c r="AI370" s="168" t="str">
        <f t="shared" si="68"/>
        <v/>
      </c>
      <c r="AJ370" s="167">
        <f t="shared" si="69"/>
        <v>-0.30285714285714288</v>
      </c>
      <c r="AK370" s="167">
        <f t="shared" si="70"/>
        <v>18079.36</v>
      </c>
      <c r="AL370" s="167" t="str">
        <f t="shared" si="71"/>
        <v/>
      </c>
      <c r="AM370" s="167">
        <f t="shared" si="72"/>
        <v>62.994285714285716</v>
      </c>
    </row>
    <row r="371" spans="1:39" hidden="1" x14ac:dyDescent="0.25">
      <c r="A371" s="124"/>
      <c r="B371" s="124" t="s">
        <v>703</v>
      </c>
      <c r="C371" s="124" t="s">
        <v>704</v>
      </c>
      <c r="D371" s="124"/>
      <c r="E371" s="124">
        <v>1</v>
      </c>
      <c r="F371" s="124"/>
      <c r="G371" s="124"/>
      <c r="H371" s="124"/>
      <c r="I371" s="124"/>
      <c r="J371" s="99" t="s">
        <v>705</v>
      </c>
      <c r="K371" s="37"/>
      <c r="L371" s="37"/>
      <c r="M371" s="37"/>
      <c r="N371" s="37"/>
      <c r="O371" s="37"/>
      <c r="P371" s="37">
        <v>1</v>
      </c>
      <c r="Q371" s="37"/>
      <c r="R371" s="37"/>
      <c r="S371" s="38">
        <v>5000</v>
      </c>
      <c r="T371" s="38" t="s">
        <v>202</v>
      </c>
      <c r="U371" s="39">
        <v>5029.0200000000004</v>
      </c>
      <c r="V371" s="159">
        <f t="shared" si="74"/>
        <v>29.020000000000437</v>
      </c>
      <c r="W371" s="79"/>
      <c r="X371" s="40"/>
      <c r="Y371" s="124"/>
      <c r="Z371" s="124">
        <v>0</v>
      </c>
      <c r="AA371" s="124"/>
      <c r="AB371" s="124">
        <v>69.989999999999995</v>
      </c>
      <c r="AC371" s="130">
        <f t="shared" si="73"/>
        <v>69.989999999999995</v>
      </c>
      <c r="AD371" s="40">
        <v>7</v>
      </c>
      <c r="AE371" s="41">
        <v>4800</v>
      </c>
      <c r="AF371" s="80">
        <v>2500</v>
      </c>
      <c r="AG371" s="167">
        <f t="shared" si="66"/>
        <v>1015.5549000000151</v>
      </c>
      <c r="AH371" s="168" t="str">
        <f t="shared" si="67"/>
        <v/>
      </c>
      <c r="AI371" s="168">
        <f t="shared" si="68"/>
        <v>1949.865408000029</v>
      </c>
      <c r="AJ371" s="167" t="str">
        <f t="shared" si="69"/>
        <v/>
      </c>
      <c r="AK371" s="167">
        <f t="shared" si="70"/>
        <v>122286528</v>
      </c>
      <c r="AL371" s="167">
        <f t="shared" si="71"/>
        <v>709751.00851201057</v>
      </c>
      <c r="AM371" s="167" t="str">
        <f t="shared" si="72"/>
        <v/>
      </c>
    </row>
    <row r="372" spans="1:39" hidden="1" x14ac:dyDescent="0.25">
      <c r="A372" s="128"/>
      <c r="B372" s="128"/>
      <c r="C372" s="128"/>
      <c r="D372" s="128"/>
      <c r="E372" s="128"/>
      <c r="F372" s="128"/>
      <c r="G372" s="128"/>
      <c r="H372" s="124"/>
      <c r="I372" s="124"/>
      <c r="J372" s="99" t="s">
        <v>706</v>
      </c>
      <c r="K372" s="37"/>
      <c r="L372" s="37"/>
      <c r="M372" s="37"/>
      <c r="N372" s="42"/>
      <c r="O372" s="42"/>
      <c r="P372" s="42"/>
      <c r="Q372" s="42"/>
      <c r="R372" s="37"/>
      <c r="S372" s="38">
        <v>3000</v>
      </c>
      <c r="T372" s="43" t="s">
        <v>202</v>
      </c>
      <c r="U372" s="39">
        <v>3019.3</v>
      </c>
      <c r="V372" s="129">
        <f t="shared" si="74"/>
        <v>19.300000000000182</v>
      </c>
      <c r="W372" s="44"/>
      <c r="X372" s="45"/>
      <c r="Y372" s="124"/>
      <c r="Z372" s="124">
        <v>0</v>
      </c>
      <c r="AA372" s="124"/>
      <c r="AB372" s="124">
        <v>48.99</v>
      </c>
      <c r="AC372" s="130">
        <f t="shared" si="73"/>
        <v>48.99</v>
      </c>
      <c r="AD372" s="45">
        <v>7</v>
      </c>
      <c r="AE372" s="46">
        <v>4800</v>
      </c>
      <c r="AF372" s="47">
        <v>2500</v>
      </c>
      <c r="AG372" s="167">
        <f t="shared" si="66"/>
        <v>787.9225000000074</v>
      </c>
      <c r="AH372" s="168" t="str">
        <f t="shared" si="67"/>
        <v/>
      </c>
      <c r="AI372" s="168">
        <f t="shared" si="68"/>
        <v>1512.8112000000142</v>
      </c>
      <c r="AJ372" s="167" t="str">
        <f t="shared" si="69"/>
        <v/>
      </c>
      <c r="AK372" s="167">
        <f t="shared" si="70"/>
        <v>85595328</v>
      </c>
      <c r="AL372" s="167">
        <f t="shared" si="71"/>
        <v>550663.27680000511</v>
      </c>
      <c r="AM372" s="167" t="str">
        <f t="shared" si="72"/>
        <v/>
      </c>
    </row>
    <row r="373" spans="1:39" hidden="1" x14ac:dyDescent="0.25">
      <c r="A373" s="128"/>
      <c r="B373" s="128" t="s">
        <v>707</v>
      </c>
      <c r="C373" s="128" t="s">
        <v>708</v>
      </c>
      <c r="D373" s="128"/>
      <c r="E373" s="128">
        <v>1</v>
      </c>
      <c r="F373" s="128"/>
      <c r="G373" s="128"/>
      <c r="H373" s="128"/>
      <c r="I373" s="128"/>
      <c r="J373" s="99" t="s">
        <v>709</v>
      </c>
      <c r="K373" s="42"/>
      <c r="L373" s="37"/>
      <c r="M373" s="37"/>
      <c r="N373" s="42"/>
      <c r="O373" s="42"/>
      <c r="P373" s="42"/>
      <c r="Q373" s="42">
        <v>1</v>
      </c>
      <c r="R373" s="37"/>
      <c r="S373" s="38">
        <v>700</v>
      </c>
      <c r="T373" s="43" t="s">
        <v>202</v>
      </c>
      <c r="U373" s="39">
        <v>700.69</v>
      </c>
      <c r="V373" s="129">
        <f t="shared" si="74"/>
        <v>0.69000000000005457</v>
      </c>
      <c r="W373" s="44"/>
      <c r="X373" s="45"/>
      <c r="Y373" s="124"/>
      <c r="Z373" s="124">
        <v>0</v>
      </c>
      <c r="AA373" s="124"/>
      <c r="AB373" s="124"/>
      <c r="AC373" s="130">
        <f t="shared" si="73"/>
        <v>0</v>
      </c>
      <c r="AD373" s="45">
        <v>7</v>
      </c>
      <c r="AE373" s="46">
        <v>24000</v>
      </c>
      <c r="AF373" s="47">
        <v>24000</v>
      </c>
      <c r="AG373" s="167">
        <f t="shared" si="66"/>
        <v>0</v>
      </c>
      <c r="AH373" s="168" t="str">
        <f t="shared" si="67"/>
        <v/>
      </c>
      <c r="AI373" s="168">
        <f t="shared" si="68"/>
        <v>0</v>
      </c>
      <c r="AJ373" s="167" t="str">
        <f t="shared" si="69"/>
        <v/>
      </c>
      <c r="AK373" s="167">
        <f t="shared" si="70"/>
        <v>0</v>
      </c>
      <c r="AL373" s="167">
        <f t="shared" si="71"/>
        <v>0</v>
      </c>
      <c r="AM373" s="167" t="str">
        <f t="shared" si="72"/>
        <v/>
      </c>
    </row>
    <row r="374" spans="1:39" hidden="1" x14ac:dyDescent="0.25">
      <c r="A374" s="128"/>
      <c r="B374" s="128" t="s">
        <v>710</v>
      </c>
      <c r="C374" s="128" t="s">
        <v>711</v>
      </c>
      <c r="D374" s="128"/>
      <c r="E374" s="128">
        <v>1</v>
      </c>
      <c r="F374" s="128"/>
      <c r="G374" s="128"/>
      <c r="H374" s="128"/>
      <c r="I374" s="128"/>
      <c r="J374" s="99" t="s">
        <v>712</v>
      </c>
      <c r="K374" s="42"/>
      <c r="L374" s="37"/>
      <c r="M374" s="37"/>
      <c r="N374" s="42">
        <v>1</v>
      </c>
      <c r="O374" s="42"/>
      <c r="P374" s="42"/>
      <c r="Q374" s="42"/>
      <c r="R374" s="37"/>
      <c r="S374" s="38">
        <v>750</v>
      </c>
      <c r="T374" s="43" t="s">
        <v>202</v>
      </c>
      <c r="U374" s="39">
        <v>751.4</v>
      </c>
      <c r="V374" s="129">
        <f t="shared" si="74"/>
        <v>1.3999999999999773</v>
      </c>
      <c r="W374" s="44"/>
      <c r="X374" s="45"/>
      <c r="Y374" s="124"/>
      <c r="Z374" s="124">
        <v>0</v>
      </c>
      <c r="AA374" s="124"/>
      <c r="AB374" s="124">
        <v>59.99</v>
      </c>
      <c r="AC374" s="130">
        <f t="shared" si="73"/>
        <v>59.99</v>
      </c>
      <c r="AD374" s="45">
        <v>7</v>
      </c>
      <c r="AE374" s="46">
        <v>20000</v>
      </c>
      <c r="AF374" s="47">
        <v>24000</v>
      </c>
      <c r="AG374" s="167">
        <f t="shared" si="66"/>
        <v>2687.5519999999565</v>
      </c>
      <c r="AH374" s="168" t="str">
        <f t="shared" si="67"/>
        <v/>
      </c>
      <c r="AI374" s="168">
        <f t="shared" si="68"/>
        <v>2239.6266666666302</v>
      </c>
      <c r="AJ374" s="167" t="str">
        <f t="shared" si="69"/>
        <v/>
      </c>
      <c r="AK374" s="167">
        <f t="shared" si="70"/>
        <v>436727200</v>
      </c>
      <c r="AL374" s="167">
        <f t="shared" si="71"/>
        <v>815224.10666665342</v>
      </c>
      <c r="AM374" s="167" t="str">
        <f t="shared" si="72"/>
        <v/>
      </c>
    </row>
    <row r="375" spans="1:39" hidden="1" x14ac:dyDescent="0.25">
      <c r="A375" s="128"/>
      <c r="B375" s="128"/>
      <c r="C375" s="128"/>
      <c r="D375" s="128"/>
      <c r="E375" s="128"/>
      <c r="F375" s="128"/>
      <c r="G375" s="128"/>
      <c r="H375" s="128"/>
      <c r="I375" s="128"/>
      <c r="J375" s="99" t="s">
        <v>713</v>
      </c>
      <c r="K375" s="42"/>
      <c r="L375" s="37"/>
      <c r="M375" s="37"/>
      <c r="N375" s="42"/>
      <c r="O375" s="42"/>
      <c r="P375" s="42"/>
      <c r="Q375" s="42">
        <v>1</v>
      </c>
      <c r="R375" s="37"/>
      <c r="S375" s="38">
        <v>750</v>
      </c>
      <c r="T375" s="43" t="s">
        <v>202</v>
      </c>
      <c r="U375" s="39">
        <v>752.02</v>
      </c>
      <c r="V375" s="129">
        <f t="shared" si="74"/>
        <v>2.0199999999999818</v>
      </c>
      <c r="W375" s="44"/>
      <c r="X375" s="45"/>
      <c r="Y375" s="124"/>
      <c r="Z375" s="124">
        <v>0</v>
      </c>
      <c r="AA375" s="124"/>
      <c r="AB375" s="124">
        <v>49.99</v>
      </c>
      <c r="AC375" s="130">
        <f t="shared" si="73"/>
        <v>49.99</v>
      </c>
      <c r="AD375" s="45">
        <v>7</v>
      </c>
      <c r="AE375" s="46">
        <v>24000</v>
      </c>
      <c r="AF375" s="47">
        <v>24000</v>
      </c>
      <c r="AG375" s="167">
        <f t="shared" si="66"/>
        <v>3231.3535999999717</v>
      </c>
      <c r="AH375" s="168" t="str">
        <f t="shared" si="67"/>
        <v/>
      </c>
      <c r="AI375" s="168">
        <f t="shared" si="68"/>
        <v>3231.3535999999717</v>
      </c>
      <c r="AJ375" s="167" t="str">
        <f t="shared" si="69"/>
        <v/>
      </c>
      <c r="AK375" s="167">
        <f t="shared" si="70"/>
        <v>436712640</v>
      </c>
      <c r="AL375" s="167">
        <f t="shared" si="71"/>
        <v>1176212.7103999897</v>
      </c>
      <c r="AM375" s="167" t="str">
        <f t="shared" si="72"/>
        <v/>
      </c>
    </row>
    <row r="376" spans="1:39" hidden="1" x14ac:dyDescent="0.25">
      <c r="A376" s="128"/>
      <c r="B376" s="128" t="s">
        <v>714</v>
      </c>
      <c r="C376" s="128" t="s">
        <v>715</v>
      </c>
      <c r="D376" s="128"/>
      <c r="E376" s="128">
        <v>1</v>
      </c>
      <c r="F376" s="128"/>
      <c r="G376" s="128"/>
      <c r="H376" s="128"/>
      <c r="I376" s="128"/>
      <c r="J376" s="99" t="s">
        <v>716</v>
      </c>
      <c r="K376" s="42"/>
      <c r="L376" s="37"/>
      <c r="M376" s="37"/>
      <c r="N376" s="42">
        <v>1</v>
      </c>
      <c r="O376" s="42"/>
      <c r="P376" s="42"/>
      <c r="Q376" s="42"/>
      <c r="R376" s="37"/>
      <c r="S376" s="38">
        <v>750</v>
      </c>
      <c r="T376" s="43" t="s">
        <v>202</v>
      </c>
      <c r="U376" s="39">
        <v>752.14</v>
      </c>
      <c r="V376" s="129">
        <f t="shared" si="74"/>
        <v>2.1399999999999864</v>
      </c>
      <c r="W376" s="44"/>
      <c r="X376" s="45"/>
      <c r="Y376" s="124"/>
      <c r="Z376" s="124"/>
      <c r="AA376" s="124"/>
      <c r="AB376" s="124">
        <v>79.989999999999995</v>
      </c>
      <c r="AC376" s="130">
        <f t="shared" si="73"/>
        <v>79.989999999999995</v>
      </c>
      <c r="AD376" s="45">
        <v>7</v>
      </c>
      <c r="AE376" s="46">
        <v>8000</v>
      </c>
      <c r="AF376" s="47">
        <v>10000</v>
      </c>
      <c r="AG376" s="167">
        <f t="shared" si="66"/>
        <v>2282.3813333333183</v>
      </c>
      <c r="AH376" s="168" t="str">
        <f t="shared" si="67"/>
        <v/>
      </c>
      <c r="AI376" s="168">
        <f t="shared" si="68"/>
        <v>1825.9050666666546</v>
      </c>
      <c r="AJ376" s="167" t="str">
        <f t="shared" si="69"/>
        <v/>
      </c>
      <c r="AK376" s="167">
        <f t="shared" si="70"/>
        <v>232930880</v>
      </c>
      <c r="AL376" s="167">
        <f t="shared" si="71"/>
        <v>664629.44426666223</v>
      </c>
      <c r="AM376" s="167" t="str">
        <f t="shared" si="72"/>
        <v/>
      </c>
    </row>
    <row r="377" spans="1:39" ht="15.75" thickBot="1" x14ac:dyDescent="0.3">
      <c r="A377" s="128"/>
      <c r="B377" s="128"/>
      <c r="C377" s="128"/>
      <c r="D377" s="128"/>
      <c r="E377" s="128"/>
      <c r="F377" s="128"/>
      <c r="G377" s="128"/>
      <c r="H377" s="128"/>
      <c r="I377" s="128"/>
      <c r="J377" s="139"/>
      <c r="K377" s="42"/>
      <c r="L377" s="42"/>
      <c r="M377" s="42"/>
      <c r="N377" s="42"/>
      <c r="O377" s="42"/>
      <c r="P377" s="42"/>
      <c r="Q377" s="42"/>
      <c r="R377" s="42"/>
      <c r="S377" s="43"/>
      <c r="T377" s="43"/>
      <c r="U377" s="43"/>
      <c r="V377" s="129"/>
      <c r="W377" s="45"/>
      <c r="X377" s="45"/>
      <c r="Y377" s="128"/>
      <c r="Z377" s="128"/>
      <c r="AA377" s="128"/>
      <c r="AB377" s="128"/>
      <c r="AC377" s="140"/>
      <c r="AD377" s="45"/>
      <c r="AE377" s="46"/>
      <c r="AF377" s="47"/>
      <c r="AG377" s="126"/>
      <c r="AH377" s="127"/>
      <c r="AI377" s="127"/>
      <c r="AJ377" s="126"/>
      <c r="AK377" s="126"/>
      <c r="AL377" s="126"/>
      <c r="AM377" s="126"/>
    </row>
    <row r="378" spans="1:39" hidden="1" x14ac:dyDescent="0.25">
      <c r="A378" s="128"/>
      <c r="B378" s="128"/>
      <c r="C378" s="128"/>
      <c r="D378" s="128"/>
      <c r="E378" s="128"/>
      <c r="F378" s="128"/>
      <c r="G378" s="128"/>
      <c r="H378" s="128"/>
      <c r="I378" s="128"/>
      <c r="J378" s="139"/>
      <c r="K378" s="42"/>
      <c r="L378" s="42"/>
      <c r="M378" s="42"/>
      <c r="N378" s="42"/>
      <c r="O378" s="42"/>
      <c r="P378" s="42"/>
      <c r="Q378" s="42"/>
      <c r="R378" s="42"/>
      <c r="S378" s="43"/>
      <c r="T378" s="43"/>
      <c r="U378" s="43"/>
      <c r="V378" s="129"/>
      <c r="W378" s="45"/>
      <c r="X378" s="45"/>
      <c r="Y378" s="128"/>
      <c r="Z378" s="128"/>
      <c r="AA378" s="128"/>
      <c r="AB378" s="128"/>
      <c r="AC378" s="140"/>
      <c r="AD378" s="45"/>
      <c r="AE378" s="46"/>
      <c r="AF378" s="47"/>
      <c r="AG378" s="126"/>
      <c r="AH378" s="127"/>
      <c r="AI378" s="127"/>
      <c r="AJ378" s="126"/>
      <c r="AK378" s="126"/>
      <c r="AL378" s="126"/>
      <c r="AM378" s="126"/>
    </row>
    <row r="379" spans="1:39" hidden="1" x14ac:dyDescent="0.25">
      <c r="A379" s="128"/>
      <c r="B379" s="128"/>
      <c r="C379" s="128"/>
      <c r="D379" s="128"/>
      <c r="E379" s="128"/>
      <c r="F379" s="128"/>
      <c r="G379" s="128"/>
      <c r="H379" s="128"/>
      <c r="I379" s="128"/>
      <c r="J379" s="139"/>
      <c r="K379" s="42"/>
      <c r="L379" s="42"/>
      <c r="M379" s="42"/>
      <c r="N379" s="42"/>
      <c r="O379" s="42"/>
      <c r="P379" s="42"/>
      <c r="Q379" s="42"/>
      <c r="R379" s="42"/>
      <c r="S379" s="43"/>
      <c r="T379" s="43"/>
      <c r="U379" s="43"/>
      <c r="V379" s="129"/>
      <c r="W379" s="45"/>
      <c r="X379" s="45"/>
      <c r="Y379" s="128"/>
      <c r="Z379" s="128"/>
      <c r="AA379" s="128"/>
      <c r="AB379" s="128"/>
      <c r="AC379" s="140"/>
      <c r="AD379" s="45"/>
      <c r="AE379" s="46"/>
      <c r="AF379" s="47"/>
      <c r="AG379" s="126"/>
      <c r="AH379" s="127"/>
      <c r="AI379" s="127"/>
      <c r="AJ379" s="126"/>
      <c r="AK379" s="126"/>
      <c r="AL379" s="126"/>
      <c r="AM379" s="126"/>
    </row>
    <row r="380" spans="1:39" hidden="1" x14ac:dyDescent="0.25">
      <c r="A380" s="128"/>
      <c r="B380" s="128"/>
      <c r="C380" s="128"/>
      <c r="D380" s="128"/>
      <c r="E380" s="128"/>
      <c r="F380" s="128"/>
      <c r="G380" s="128"/>
      <c r="H380" s="128"/>
      <c r="I380" s="128"/>
      <c r="J380" s="139"/>
      <c r="K380" s="42"/>
      <c r="L380" s="42"/>
      <c r="M380" s="42"/>
      <c r="N380" s="42"/>
      <c r="O380" s="42"/>
      <c r="P380" s="42"/>
      <c r="Q380" s="42"/>
      <c r="R380" s="42"/>
      <c r="S380" s="43"/>
      <c r="T380" s="43"/>
      <c r="U380" s="43"/>
      <c r="V380" s="129"/>
      <c r="W380" s="45"/>
      <c r="X380" s="45"/>
      <c r="Y380" s="128"/>
      <c r="Z380" s="128"/>
      <c r="AA380" s="128"/>
      <c r="AB380" s="128"/>
      <c r="AC380" s="140"/>
      <c r="AD380" s="45"/>
      <c r="AE380" s="46"/>
      <c r="AF380" s="47"/>
      <c r="AG380" s="126"/>
      <c r="AH380" s="127"/>
      <c r="AI380" s="127"/>
      <c r="AJ380" s="126"/>
      <c r="AK380" s="126"/>
      <c r="AL380" s="126"/>
      <c r="AM380" s="126"/>
    </row>
    <row r="381" spans="1:39" hidden="1" x14ac:dyDescent="0.25">
      <c r="A381" s="128"/>
      <c r="B381" s="128"/>
      <c r="C381" s="128"/>
      <c r="D381" s="128"/>
      <c r="E381" s="128"/>
      <c r="F381" s="128"/>
      <c r="G381" s="128"/>
      <c r="H381" s="128"/>
      <c r="I381" s="128"/>
      <c r="J381" s="139"/>
      <c r="K381" s="42"/>
      <c r="L381" s="42"/>
      <c r="M381" s="42"/>
      <c r="N381" s="42"/>
      <c r="O381" s="42"/>
      <c r="P381" s="42"/>
      <c r="Q381" s="42"/>
      <c r="R381" s="42"/>
      <c r="S381" s="43"/>
      <c r="T381" s="43"/>
      <c r="U381" s="43"/>
      <c r="V381" s="129"/>
      <c r="W381" s="45"/>
      <c r="X381" s="45"/>
      <c r="Y381" s="128"/>
      <c r="Z381" s="128"/>
      <c r="AA381" s="128"/>
      <c r="AB381" s="128"/>
      <c r="AC381" s="140"/>
      <c r="AD381" s="45"/>
      <c r="AE381" s="46"/>
      <c r="AF381" s="47"/>
      <c r="AG381" s="126"/>
      <c r="AH381" s="127"/>
      <c r="AI381" s="127"/>
      <c r="AJ381" s="126"/>
      <c r="AK381" s="126"/>
      <c r="AL381" s="126"/>
      <c r="AM381" s="126"/>
    </row>
    <row r="382" spans="1:39" hidden="1" x14ac:dyDescent="0.25">
      <c r="A382" s="128"/>
      <c r="B382" s="128"/>
      <c r="C382" s="128"/>
      <c r="D382" s="128"/>
      <c r="E382" s="128"/>
      <c r="F382" s="128"/>
      <c r="G382" s="128"/>
      <c r="H382" s="128"/>
      <c r="I382" s="128"/>
      <c r="J382" s="139"/>
      <c r="K382" s="42"/>
      <c r="L382" s="42"/>
      <c r="M382" s="42"/>
      <c r="N382" s="42"/>
      <c r="O382" s="42"/>
      <c r="P382" s="42"/>
      <c r="Q382" s="42"/>
      <c r="R382" s="42"/>
      <c r="S382" s="43"/>
      <c r="T382" s="43"/>
      <c r="U382" s="43"/>
      <c r="V382" s="129"/>
      <c r="W382" s="45"/>
      <c r="X382" s="45"/>
      <c r="Y382" s="128"/>
      <c r="Z382" s="128"/>
      <c r="AA382" s="128"/>
      <c r="AB382" s="128"/>
      <c r="AC382" s="140"/>
      <c r="AD382" s="45"/>
      <c r="AE382" s="46"/>
      <c r="AF382" s="46"/>
      <c r="AG382" s="126"/>
      <c r="AH382" s="127"/>
      <c r="AI382" s="127"/>
      <c r="AJ382" s="126"/>
      <c r="AK382" s="126"/>
      <c r="AL382" s="126"/>
      <c r="AM382" s="126"/>
    </row>
    <row r="383" spans="1:39" hidden="1" x14ac:dyDescent="0.25">
      <c r="A383" s="128"/>
      <c r="B383" s="128"/>
      <c r="C383" s="128"/>
      <c r="D383" s="128"/>
      <c r="E383" s="128"/>
      <c r="F383" s="128"/>
      <c r="G383" s="128"/>
      <c r="H383" s="128"/>
      <c r="I383" s="128"/>
      <c r="J383" s="139"/>
      <c r="K383" s="42"/>
      <c r="L383" s="42"/>
      <c r="M383" s="42"/>
      <c r="N383" s="42"/>
      <c r="O383" s="42"/>
      <c r="P383" s="42"/>
      <c r="Q383" s="42"/>
      <c r="R383" s="42"/>
      <c r="S383" s="43"/>
      <c r="T383" s="43"/>
      <c r="U383" s="43"/>
      <c r="V383" s="129"/>
      <c r="W383" s="45"/>
      <c r="X383" s="45"/>
      <c r="Y383" s="128"/>
      <c r="Z383" s="128"/>
      <c r="AA383" s="128"/>
      <c r="AB383" s="128"/>
      <c r="AC383" s="140"/>
      <c r="AD383" s="45"/>
      <c r="AE383" s="46"/>
      <c r="AF383" s="46"/>
      <c r="AG383" s="126"/>
      <c r="AH383" s="127"/>
      <c r="AI383" s="127"/>
      <c r="AJ383" s="126"/>
      <c r="AK383" s="126"/>
      <c r="AL383" s="126"/>
      <c r="AM383" s="126"/>
    </row>
    <row r="384" spans="1:39" hidden="1" x14ac:dyDescent="0.25">
      <c r="A384" s="128"/>
      <c r="B384" s="128"/>
      <c r="C384" s="128"/>
      <c r="D384" s="128"/>
      <c r="E384" s="128"/>
      <c r="F384" s="128"/>
      <c r="G384" s="128"/>
      <c r="H384" s="128"/>
      <c r="I384" s="128"/>
      <c r="J384" s="139"/>
      <c r="K384" s="42"/>
      <c r="L384" s="42"/>
      <c r="M384" s="42"/>
      <c r="N384" s="42"/>
      <c r="O384" s="42"/>
      <c r="P384" s="42"/>
      <c r="Q384" s="42"/>
      <c r="R384" s="42"/>
      <c r="S384" s="43"/>
      <c r="T384" s="43"/>
      <c r="U384" s="43"/>
      <c r="V384" s="129"/>
      <c r="W384" s="45"/>
      <c r="X384" s="45"/>
      <c r="Y384" s="128"/>
      <c r="Z384" s="128"/>
      <c r="AA384" s="128"/>
      <c r="AB384" s="128"/>
      <c r="AC384" s="140"/>
      <c r="AD384" s="45"/>
      <c r="AE384" s="46"/>
      <c r="AF384" s="46"/>
      <c r="AG384" s="126"/>
      <c r="AH384" s="127"/>
      <c r="AI384" s="127"/>
      <c r="AJ384" s="126"/>
      <c r="AK384" s="126"/>
      <c r="AL384" s="126"/>
      <c r="AM384" s="126"/>
    </row>
    <row r="385" spans="1:39" hidden="1" x14ac:dyDescent="0.25">
      <c r="A385" s="128"/>
      <c r="B385" s="128"/>
      <c r="C385" s="128"/>
      <c r="D385" s="128"/>
      <c r="E385" s="128"/>
      <c r="F385" s="128"/>
      <c r="G385" s="128"/>
      <c r="H385" s="128"/>
      <c r="I385" s="128"/>
      <c r="J385" s="139"/>
      <c r="K385" s="42"/>
      <c r="L385" s="42"/>
      <c r="M385" s="42"/>
      <c r="N385" s="42"/>
      <c r="O385" s="42"/>
      <c r="P385" s="42"/>
      <c r="Q385" s="42"/>
      <c r="R385" s="42"/>
      <c r="S385" s="43"/>
      <c r="T385" s="43"/>
      <c r="U385" s="43"/>
      <c r="V385" s="129"/>
      <c r="W385" s="45"/>
      <c r="X385" s="45"/>
      <c r="Y385" s="128"/>
      <c r="Z385" s="128"/>
      <c r="AA385" s="128"/>
      <c r="AB385" s="128"/>
      <c r="AC385" s="140"/>
      <c r="AD385" s="45"/>
      <c r="AE385" s="46"/>
      <c r="AF385" s="46"/>
      <c r="AG385" s="126"/>
      <c r="AH385" s="127"/>
      <c r="AI385" s="127"/>
      <c r="AJ385" s="126"/>
      <c r="AK385" s="126"/>
      <c r="AL385" s="126"/>
      <c r="AM385" s="126"/>
    </row>
    <row r="386" spans="1:39" hidden="1" x14ac:dyDescent="0.25">
      <c r="A386" s="128"/>
      <c r="B386" s="128"/>
      <c r="C386" s="128"/>
      <c r="D386" s="128"/>
      <c r="E386" s="128"/>
      <c r="F386" s="128"/>
      <c r="G386" s="128"/>
      <c r="H386" s="128"/>
      <c r="I386" s="128"/>
      <c r="J386" s="139"/>
      <c r="K386" s="42"/>
      <c r="L386" s="42"/>
      <c r="M386" s="42"/>
      <c r="N386" s="42"/>
      <c r="O386" s="42"/>
      <c r="P386" s="42"/>
      <c r="Q386" s="42"/>
      <c r="R386" s="42"/>
      <c r="S386" s="43"/>
      <c r="T386" s="43"/>
      <c r="U386" s="43"/>
      <c r="V386" s="129"/>
      <c r="W386" s="45"/>
      <c r="X386" s="45"/>
      <c r="Y386" s="128"/>
      <c r="Z386" s="128"/>
      <c r="AA386" s="128"/>
      <c r="AB386" s="128"/>
      <c r="AC386" s="140"/>
      <c r="AD386" s="45"/>
      <c r="AE386" s="46"/>
      <c r="AF386" s="46"/>
      <c r="AG386" s="126"/>
      <c r="AH386" s="127"/>
      <c r="AI386" s="127"/>
      <c r="AJ386" s="126"/>
      <c r="AK386" s="126"/>
      <c r="AL386" s="126"/>
      <c r="AM386" s="126"/>
    </row>
    <row r="387" spans="1:39" ht="15.75" hidden="1" thickBot="1" x14ac:dyDescent="0.3">
      <c r="A387" s="128"/>
      <c r="B387" s="128"/>
      <c r="C387" s="128"/>
      <c r="D387" s="128"/>
      <c r="E387" s="128"/>
      <c r="F387" s="128"/>
      <c r="G387" s="128"/>
      <c r="H387" s="128"/>
      <c r="I387" s="128"/>
      <c r="J387" s="139"/>
      <c r="K387" s="42"/>
      <c r="L387" s="42"/>
      <c r="M387" s="42"/>
      <c r="N387" s="42"/>
      <c r="O387" s="42"/>
      <c r="P387" s="42"/>
      <c r="Q387" s="42"/>
      <c r="R387" s="42"/>
      <c r="S387" s="43"/>
      <c r="T387" s="43"/>
      <c r="U387" s="43"/>
      <c r="V387" s="129"/>
      <c r="W387" s="45"/>
      <c r="X387" s="45"/>
      <c r="Y387" s="128"/>
      <c r="Z387" s="128"/>
      <c r="AA387" s="128"/>
      <c r="AB387" s="128"/>
      <c r="AC387" s="140"/>
      <c r="AD387" s="45"/>
      <c r="AE387" s="46"/>
      <c r="AF387" s="46"/>
      <c r="AG387" s="126"/>
      <c r="AH387" s="127"/>
      <c r="AI387" s="127"/>
      <c r="AJ387" s="126"/>
      <c r="AK387" s="126"/>
      <c r="AL387" s="126"/>
      <c r="AM387" s="126"/>
    </row>
    <row r="388" spans="1:39" ht="15.75" thickBot="1" x14ac:dyDescent="0.3">
      <c r="A388" s="107"/>
      <c r="B388" s="107"/>
      <c r="C388" s="107"/>
      <c r="D388" s="49"/>
      <c r="E388" s="49"/>
      <c r="F388" s="49"/>
      <c r="G388" s="49"/>
      <c r="H388" s="49"/>
      <c r="I388" s="49"/>
      <c r="J388" s="89" t="s">
        <v>54</v>
      </c>
      <c r="K388" s="50"/>
      <c r="L388" s="50"/>
      <c r="M388" s="50"/>
      <c r="N388" s="50"/>
      <c r="O388" s="50"/>
      <c r="P388" s="50"/>
      <c r="Q388" s="50"/>
      <c r="R388" s="50"/>
      <c r="S388" s="50"/>
      <c r="T388" s="50"/>
      <c r="U388" s="50"/>
      <c r="V388" s="50"/>
      <c r="W388" s="50"/>
      <c r="X388" s="50"/>
      <c r="Y388" s="50"/>
      <c r="Z388" s="50"/>
      <c r="AA388" s="50"/>
      <c r="AB388" s="50"/>
      <c r="AC388" s="50"/>
      <c r="AD388" s="50"/>
      <c r="AE388" s="50"/>
      <c r="AF388" s="51">
        <f>SUMIF(V11:V387,"&lt;0",AF11:AF387)</f>
        <v>15087</v>
      </c>
      <c r="AG388" s="100">
        <f t="shared" ref="AG388:AM388" si="75">SUM(AG11:AG387)</f>
        <v>68734.854345224507</v>
      </c>
      <c r="AH388" s="101">
        <f t="shared" si="75"/>
        <v>-2744.2075912198557</v>
      </c>
      <c r="AI388" s="101">
        <f t="shared" si="75"/>
        <v>90761.308534399388</v>
      </c>
      <c r="AJ388" s="101">
        <f t="shared" si="75"/>
        <v>-9526.507410863449</v>
      </c>
      <c r="AK388" s="101">
        <f t="shared" si="75"/>
        <v>3011250569.6372204</v>
      </c>
      <c r="AL388" s="101">
        <f t="shared" si="75"/>
        <v>25657128.52393936</v>
      </c>
      <c r="AM388" s="102">
        <f t="shared" si="75"/>
        <v>2897120.3380161957</v>
      </c>
    </row>
    <row r="389" spans="1:39" ht="16.5" thickBot="1" x14ac:dyDescent="0.3">
      <c r="A389" s="108"/>
      <c r="B389" s="116"/>
      <c r="C389" s="123"/>
      <c r="D389" s="52"/>
      <c r="U389" s="179" t="s">
        <v>55</v>
      </c>
      <c r="V389" s="180"/>
      <c r="W389" s="180"/>
      <c r="X389" s="180"/>
      <c r="Y389" s="180"/>
      <c r="Z389" s="180"/>
      <c r="AA389" s="180"/>
      <c r="AB389" s="180"/>
      <c r="AC389" s="181"/>
      <c r="AD389" s="132"/>
      <c r="AE389" s="182">
        <f>AL388</f>
        <v>25657128.52393936</v>
      </c>
      <c r="AF389" s="183"/>
      <c r="AG389" s="183"/>
      <c r="AH389" s="184"/>
    </row>
    <row r="390" spans="1:39" ht="15.75" thickBot="1" x14ac:dyDescent="0.3">
      <c r="A390" s="109"/>
      <c r="B390" s="117" t="s">
        <v>56</v>
      </c>
      <c r="C390" s="169">
        <f>SUM(Z11:Z387)</f>
        <v>16</v>
      </c>
      <c r="D390" s="185"/>
      <c r="E390" s="185"/>
      <c r="F390" s="131"/>
      <c r="U390" s="186" t="s">
        <v>57</v>
      </c>
      <c r="V390" s="187"/>
      <c r="W390" s="187"/>
      <c r="X390" s="187"/>
      <c r="Y390" s="187"/>
      <c r="Z390" s="187"/>
      <c r="AA390" s="187"/>
      <c r="AB390" s="187"/>
      <c r="AC390" s="188"/>
      <c r="AD390" s="132"/>
      <c r="AE390" s="189">
        <f>AM388</f>
        <v>2897120.3380161957</v>
      </c>
      <c r="AF390" s="190"/>
      <c r="AG390" s="190"/>
      <c r="AH390" s="191"/>
    </row>
    <row r="391" spans="1:39" ht="16.5" thickBot="1" x14ac:dyDescent="0.3">
      <c r="A391" s="110">
        <v>2</v>
      </c>
      <c r="B391" s="118" t="s">
        <v>58</v>
      </c>
      <c r="C391" s="169">
        <f>COUNT(D11:E387)</f>
        <v>331</v>
      </c>
      <c r="D391" s="170"/>
      <c r="E391" s="170"/>
      <c r="F391" s="72"/>
      <c r="AG391" s="57"/>
      <c r="AH391" s="57"/>
      <c r="AM391" s="77" t="s">
        <v>200</v>
      </c>
    </row>
    <row r="392" spans="1:39" ht="16.5" thickBot="1" x14ac:dyDescent="0.3">
      <c r="A392" s="110"/>
      <c r="B392" s="118"/>
      <c r="C392" s="169"/>
      <c r="D392" s="170"/>
      <c r="E392" s="170"/>
      <c r="F392" s="72"/>
      <c r="I392" s="53"/>
      <c r="J392" s="53"/>
      <c r="K392" s="53"/>
      <c r="L392" s="53"/>
      <c r="M392" s="53"/>
      <c r="N392" s="53"/>
      <c r="O392" s="53"/>
      <c r="P392" s="53"/>
      <c r="Q392" s="53"/>
      <c r="R392" s="53"/>
      <c r="S392" s="53"/>
      <c r="T392" s="53"/>
      <c r="U392" s="53"/>
      <c r="V392" s="53"/>
      <c r="W392" s="53"/>
      <c r="X392" s="53"/>
      <c r="Y392" s="53"/>
      <c r="Z392" s="53"/>
      <c r="AA392" s="53"/>
      <c r="AB392" s="53"/>
      <c r="AC392" s="53"/>
      <c r="AD392" s="53"/>
      <c r="AE392" s="53"/>
      <c r="AF392" s="53"/>
      <c r="AG392" s="53"/>
      <c r="AH392" s="53"/>
      <c r="AI392" s="53"/>
      <c r="AJ392" s="53"/>
      <c r="AK392" s="53"/>
      <c r="AL392" s="53"/>
      <c r="AM392" s="53"/>
    </row>
    <row r="393" spans="1:39" ht="16.5" hidden="1" thickBot="1" x14ac:dyDescent="0.3">
      <c r="A393" s="110">
        <v>4</v>
      </c>
      <c r="B393" s="118" t="s">
        <v>59</v>
      </c>
      <c r="C393" s="169">
        <f>SUM(AF11:AF387)</f>
        <v>277516</v>
      </c>
      <c r="D393" s="170"/>
      <c r="E393" s="170"/>
      <c r="F393" s="72"/>
      <c r="J393" s="91" t="s">
        <v>44</v>
      </c>
      <c r="K393" s="59"/>
      <c r="AG393" s="53">
        <f t="shared" ref="AG393:AM393" si="76">SUMIF($J$11:$J$387,"=Adhesive and sealants.",AG$11:AG$387)</f>
        <v>0</v>
      </c>
      <c r="AH393" s="53">
        <f t="shared" si="76"/>
        <v>0</v>
      </c>
      <c r="AI393" s="53">
        <f t="shared" si="76"/>
        <v>0</v>
      </c>
      <c r="AJ393" s="53">
        <f t="shared" si="76"/>
        <v>0</v>
      </c>
      <c r="AK393" s="53">
        <f t="shared" si="76"/>
        <v>0</v>
      </c>
      <c r="AL393" s="53">
        <f t="shared" si="76"/>
        <v>0</v>
      </c>
      <c r="AM393" s="53">
        <f t="shared" si="76"/>
        <v>0</v>
      </c>
    </row>
    <row r="394" spans="1:39" ht="16.5" hidden="1" thickBot="1" x14ac:dyDescent="0.3">
      <c r="A394" s="111">
        <v>5</v>
      </c>
      <c r="B394" s="119" t="s">
        <v>60</v>
      </c>
      <c r="C394" s="169">
        <f>SUM(M11:R387)</f>
        <v>7609</v>
      </c>
      <c r="D394" s="170"/>
      <c r="E394" s="170"/>
      <c r="F394" s="72"/>
      <c r="J394" s="91" t="s">
        <v>61</v>
      </c>
      <c r="K394" s="59"/>
      <c r="AG394" s="53">
        <f t="shared" ref="AG394:AM394" si="77">SUMIF($J$11:$J$387,"=Aerosol",AG$11:AG$387)</f>
        <v>0</v>
      </c>
      <c r="AH394" s="53">
        <f t="shared" si="77"/>
        <v>0</v>
      </c>
      <c r="AI394" s="53">
        <f t="shared" si="77"/>
        <v>0</v>
      </c>
      <c r="AJ394" s="53">
        <f t="shared" si="77"/>
        <v>0</v>
      </c>
      <c r="AK394" s="53">
        <f t="shared" si="77"/>
        <v>0</v>
      </c>
      <c r="AL394" s="53">
        <f t="shared" si="77"/>
        <v>0</v>
      </c>
      <c r="AM394" s="53">
        <f t="shared" si="77"/>
        <v>0</v>
      </c>
    </row>
    <row r="395" spans="1:39" ht="16.5" hidden="1" thickBot="1" x14ac:dyDescent="0.3">
      <c r="A395" s="110">
        <v>6</v>
      </c>
      <c r="B395" s="118" t="s">
        <v>62</v>
      </c>
      <c r="C395" s="192">
        <f>MAX(V11:V387)</f>
        <v>1943</v>
      </c>
      <c r="D395" s="193"/>
      <c r="E395" s="193"/>
      <c r="F395" s="73"/>
      <c r="G395" s="54"/>
      <c r="H395" s="54"/>
      <c r="J395" s="91" t="s">
        <v>63</v>
      </c>
      <c r="K395" s="59"/>
      <c r="AG395" s="53">
        <f t="shared" ref="AG395:AM395" si="78">SUMIF($J$11:$J$387,"=Alcoholic beverages",AG$11:AG$387)</f>
        <v>0</v>
      </c>
      <c r="AH395" s="53">
        <f t="shared" si="78"/>
        <v>0</v>
      </c>
      <c r="AI395" s="53">
        <f t="shared" si="78"/>
        <v>0</v>
      </c>
      <c r="AJ395" s="53">
        <f t="shared" si="78"/>
        <v>0</v>
      </c>
      <c r="AK395" s="53">
        <f t="shared" si="78"/>
        <v>0</v>
      </c>
      <c r="AL395" s="53">
        <f t="shared" si="78"/>
        <v>0</v>
      </c>
      <c r="AM395" s="53">
        <f t="shared" si="78"/>
        <v>0</v>
      </c>
    </row>
    <row r="396" spans="1:39" ht="16.5" hidden="1" thickBot="1" x14ac:dyDescent="0.3">
      <c r="A396" s="110">
        <v>7</v>
      </c>
      <c r="B396" s="118" t="s">
        <v>64</v>
      </c>
      <c r="C396" s="192">
        <f>MIN(V11:V387)</f>
        <v>-452.29999999999927</v>
      </c>
      <c r="D396" s="193"/>
      <c r="E396" s="193"/>
      <c r="F396" s="73"/>
      <c r="G396" s="54"/>
      <c r="H396" s="54"/>
      <c r="J396" s="91" t="s">
        <v>137</v>
      </c>
      <c r="K396" s="60"/>
      <c r="AG396" s="53">
        <f t="shared" ref="AG396:AM396" si="79">SUMIF($J$11:$J$387,"=Alcoholic beverages: Beer",AG$11:AG$387)</f>
        <v>0</v>
      </c>
      <c r="AH396" s="53">
        <f t="shared" si="79"/>
        <v>0</v>
      </c>
      <c r="AI396" s="53">
        <f t="shared" si="79"/>
        <v>0</v>
      </c>
      <c r="AJ396" s="53">
        <f t="shared" si="79"/>
        <v>0</v>
      </c>
      <c r="AK396" s="53">
        <f t="shared" si="79"/>
        <v>0</v>
      </c>
      <c r="AL396" s="53">
        <f t="shared" si="79"/>
        <v>0</v>
      </c>
      <c r="AM396" s="53">
        <f t="shared" si="79"/>
        <v>0</v>
      </c>
    </row>
    <row r="397" spans="1:39" ht="16.5" hidden="1" thickBot="1" x14ac:dyDescent="0.3">
      <c r="A397" s="110">
        <v>8</v>
      </c>
      <c r="B397" s="118" t="s">
        <v>66</v>
      </c>
      <c r="C397" s="192">
        <f>SUM(W11:X387)</f>
        <v>179</v>
      </c>
      <c r="D397" s="193"/>
      <c r="E397" s="193"/>
      <c r="F397" s="73"/>
      <c r="G397" s="54"/>
      <c r="H397" s="54"/>
      <c r="J397" s="91" t="s">
        <v>138</v>
      </c>
      <c r="K397" s="59"/>
      <c r="AG397" s="53">
        <f t="shared" ref="AG397:AM397" si="80">SUMIF($J$11:$J$387,"=Alcoholic beverages: Spirits and liqueurs",AG$11:AG$387)</f>
        <v>0</v>
      </c>
      <c r="AH397" s="53">
        <f t="shared" si="80"/>
        <v>0</v>
      </c>
      <c r="AI397" s="53">
        <f t="shared" si="80"/>
        <v>0</v>
      </c>
      <c r="AJ397" s="53">
        <f t="shared" si="80"/>
        <v>0</v>
      </c>
      <c r="AK397" s="53">
        <f t="shared" si="80"/>
        <v>0</v>
      </c>
      <c r="AL397" s="53">
        <f t="shared" si="80"/>
        <v>0</v>
      </c>
      <c r="AM397" s="53">
        <f t="shared" si="80"/>
        <v>0</v>
      </c>
    </row>
    <row r="398" spans="1:39" ht="16.5" hidden="1" thickBot="1" x14ac:dyDescent="0.3">
      <c r="A398" s="110">
        <v>9</v>
      </c>
      <c r="B398" s="118" t="s">
        <v>68</v>
      </c>
      <c r="C398" s="169">
        <f>COUNT(AM11:AM387)</f>
        <v>101</v>
      </c>
      <c r="D398" s="170"/>
      <c r="E398" s="170"/>
      <c r="F398" s="72"/>
      <c r="J398" s="91" t="s">
        <v>139</v>
      </c>
      <c r="K398" s="60"/>
      <c r="AG398" s="53">
        <f t="shared" ref="AG398:AM398" si="81">SUMIF($J$11:$J$387,"=Alcoholic beverages: Wine",AG$11:AG$387)</f>
        <v>0</v>
      </c>
      <c r="AH398" s="53">
        <f t="shared" si="81"/>
        <v>0</v>
      </c>
      <c r="AI398" s="53">
        <f t="shared" si="81"/>
        <v>0</v>
      </c>
      <c r="AJ398" s="53">
        <f t="shared" si="81"/>
        <v>0</v>
      </c>
      <c r="AK398" s="53">
        <f t="shared" si="81"/>
        <v>0</v>
      </c>
      <c r="AL398" s="53">
        <f t="shared" si="81"/>
        <v>0</v>
      </c>
      <c r="AM398" s="53">
        <f t="shared" si="81"/>
        <v>0</v>
      </c>
    </row>
    <row r="399" spans="1:39" ht="16.5" hidden="1" thickBot="1" x14ac:dyDescent="0.3">
      <c r="A399" s="110">
        <v>12</v>
      </c>
      <c r="B399" s="118" t="s">
        <v>70</v>
      </c>
      <c r="C399" s="194">
        <f>AVERAGE(AC11:AC387)</f>
        <v>22.174555789761246</v>
      </c>
      <c r="D399" s="195"/>
      <c r="E399" s="195"/>
      <c r="F399" s="74"/>
      <c r="G399" s="55"/>
      <c r="H399" s="55"/>
      <c r="J399" s="91" t="s">
        <v>65</v>
      </c>
      <c r="K399" s="61"/>
      <c r="AG399" s="53">
        <f t="shared" ref="AG399:AM399" si="82">SUMIF($J$11:$J$387,"=Animal Feed",AG$11:AG$387)</f>
        <v>0</v>
      </c>
      <c r="AH399" s="53">
        <f t="shared" si="82"/>
        <v>0</v>
      </c>
      <c r="AI399" s="53">
        <f t="shared" si="82"/>
        <v>0</v>
      </c>
      <c r="AJ399" s="53">
        <f t="shared" si="82"/>
        <v>0</v>
      </c>
      <c r="AK399" s="53">
        <f t="shared" si="82"/>
        <v>0</v>
      </c>
      <c r="AL399" s="53">
        <f t="shared" si="82"/>
        <v>0</v>
      </c>
      <c r="AM399" s="53">
        <f t="shared" si="82"/>
        <v>0</v>
      </c>
    </row>
    <row r="400" spans="1:39" ht="16.5" hidden="1" thickBot="1" x14ac:dyDescent="0.3">
      <c r="A400" s="110">
        <v>13</v>
      </c>
      <c r="B400" s="118" t="s">
        <v>72</v>
      </c>
      <c r="C400" s="196">
        <f>AM388</f>
        <v>2897120.3380161957</v>
      </c>
      <c r="D400" s="197"/>
      <c r="E400" s="197"/>
      <c r="F400" s="75"/>
      <c r="G400" s="56"/>
      <c r="H400" s="56"/>
      <c r="J400" s="91" t="s">
        <v>67</v>
      </c>
      <c r="K400" s="60"/>
      <c r="AG400" s="53">
        <f t="shared" ref="AG400:AM400" si="83">SUMIF($J$11:$J$387,"=Baby foods",AG$11:AG$387)</f>
        <v>0</v>
      </c>
      <c r="AH400" s="53">
        <f t="shared" si="83"/>
        <v>0</v>
      </c>
      <c r="AI400" s="53">
        <f t="shared" si="83"/>
        <v>0</v>
      </c>
      <c r="AJ400" s="53">
        <f t="shared" si="83"/>
        <v>0</v>
      </c>
      <c r="AK400" s="53">
        <f t="shared" si="83"/>
        <v>0</v>
      </c>
      <c r="AL400" s="53">
        <f t="shared" si="83"/>
        <v>0</v>
      </c>
      <c r="AM400" s="53">
        <f t="shared" si="83"/>
        <v>0</v>
      </c>
    </row>
    <row r="401" spans="1:41" ht="16.5" hidden="1" thickBot="1" x14ac:dyDescent="0.3">
      <c r="A401" s="110">
        <v>14</v>
      </c>
      <c r="B401" s="118" t="s">
        <v>73</v>
      </c>
      <c r="C401" s="169">
        <f>SUM(H11:H387)</f>
        <v>57</v>
      </c>
      <c r="D401" s="170"/>
      <c r="E401" s="170"/>
      <c r="F401" s="72"/>
      <c r="J401" s="91" t="s">
        <v>69</v>
      </c>
      <c r="K401" s="60"/>
      <c r="AG401" s="53">
        <f t="shared" ref="AG401:AM401" si="84">SUMIF($J$11:$J$387,"=Beverages",AG$11:AG$387)</f>
        <v>0</v>
      </c>
      <c r="AH401" s="53">
        <f t="shared" si="84"/>
        <v>0</v>
      </c>
      <c r="AI401" s="53">
        <f t="shared" si="84"/>
        <v>0</v>
      </c>
      <c r="AJ401" s="53">
        <f t="shared" si="84"/>
        <v>0</v>
      </c>
      <c r="AK401" s="53">
        <f t="shared" si="84"/>
        <v>0</v>
      </c>
      <c r="AL401" s="53">
        <f t="shared" si="84"/>
        <v>0</v>
      </c>
      <c r="AM401" s="53">
        <f t="shared" si="84"/>
        <v>0</v>
      </c>
    </row>
    <row r="402" spans="1:41" ht="16.5" hidden="1" thickBot="1" x14ac:dyDescent="0.3">
      <c r="A402" s="110">
        <v>15</v>
      </c>
      <c r="B402" s="118" t="s">
        <v>75</v>
      </c>
      <c r="C402" s="169">
        <f>SUM(I11:I387)</f>
        <v>4</v>
      </c>
      <c r="D402" s="170"/>
      <c r="E402" s="170"/>
      <c r="F402" s="72"/>
      <c r="J402" s="91" t="s">
        <v>71</v>
      </c>
      <c r="K402" s="62"/>
      <c r="AG402" s="53">
        <f t="shared" ref="AG402:AM402" si="85">SUMIF($J$11:$J$387,"=Biscuits",AG$11:AG$387)</f>
        <v>0</v>
      </c>
      <c r="AH402" s="53">
        <f t="shared" si="85"/>
        <v>0</v>
      </c>
      <c r="AI402" s="53">
        <f t="shared" si="85"/>
        <v>0</v>
      </c>
      <c r="AJ402" s="53">
        <f t="shared" si="85"/>
        <v>0</v>
      </c>
      <c r="AK402" s="53">
        <f t="shared" si="85"/>
        <v>0</v>
      </c>
      <c r="AL402" s="53">
        <f t="shared" si="85"/>
        <v>0</v>
      </c>
      <c r="AM402" s="53">
        <f t="shared" si="85"/>
        <v>0</v>
      </c>
    </row>
    <row r="403" spans="1:41" x14ac:dyDescent="0.25">
      <c r="J403" s="92" t="s">
        <v>141</v>
      </c>
      <c r="K403" s="64"/>
      <c r="AD403" s="53"/>
      <c r="AE403" s="78">
        <f t="shared" ref="AE403:AM403" si="86">SUMIF($J$11:$J$387,"=Bread Brown ",AE$11:AE$387)</f>
        <v>108263</v>
      </c>
      <c r="AF403" s="78">
        <f t="shared" si="86"/>
        <v>26468</v>
      </c>
      <c r="AG403" s="53">
        <f t="shared" si="86"/>
        <v>2824.5052031070195</v>
      </c>
      <c r="AH403" s="53">
        <f t="shared" si="86"/>
        <v>-968.54985699761676</v>
      </c>
      <c r="AI403" s="53">
        <f t="shared" si="86"/>
        <v>12263.823409139321</v>
      </c>
      <c r="AJ403" s="53">
        <f t="shared" si="86"/>
        <v>-2185.8808006476188</v>
      </c>
      <c r="AK403" s="53">
        <f t="shared" si="86"/>
        <v>250158532.46222219</v>
      </c>
      <c r="AL403" s="53">
        <f t="shared" si="86"/>
        <v>4418142.4574695705</v>
      </c>
      <c r="AM403" s="53">
        <f t="shared" si="86"/>
        <v>717599.55551192386</v>
      </c>
      <c r="AO403" s="76"/>
    </row>
    <row r="404" spans="1:41" hidden="1" x14ac:dyDescent="0.25">
      <c r="J404" s="92" t="s">
        <v>140</v>
      </c>
      <c r="K404" s="64"/>
      <c r="AD404" s="53"/>
      <c r="AE404" s="78">
        <f t="shared" ref="AE404:AM404" si="87">SUMIF($J$11:$J$387,"=Bread other",AE$11:AE$387)</f>
        <v>17340</v>
      </c>
      <c r="AF404" s="78">
        <f t="shared" si="87"/>
        <v>18621</v>
      </c>
      <c r="AG404" s="53">
        <f t="shared" si="87"/>
        <v>7183.3996272381009</v>
      </c>
      <c r="AH404" s="53">
        <f t="shared" si="87"/>
        <v>0</v>
      </c>
      <c r="AI404" s="53">
        <f t="shared" si="87"/>
        <v>7025.4895090476166</v>
      </c>
      <c r="AJ404" s="53">
        <f t="shared" si="87"/>
        <v>0</v>
      </c>
      <c r="AK404" s="53">
        <f t="shared" si="87"/>
        <v>80059168.799999997</v>
      </c>
      <c r="AL404" s="53">
        <f t="shared" si="87"/>
        <v>2544810.6612933329</v>
      </c>
      <c r="AM404" s="53">
        <f t="shared" si="87"/>
        <v>0</v>
      </c>
    </row>
    <row r="405" spans="1:41" ht="15.75" thickBot="1" x14ac:dyDescent="0.3">
      <c r="J405" s="92" t="s">
        <v>142</v>
      </c>
      <c r="K405" s="64"/>
      <c r="AD405" s="53"/>
      <c r="AE405" s="78">
        <f t="shared" ref="AE405:AM405" si="88">SUMIF($J$11:$J$387,"=Bread White ",AE$11:AE$387)</f>
        <v>105289</v>
      </c>
      <c r="AF405" s="78">
        <f t="shared" si="88"/>
        <v>28846</v>
      </c>
      <c r="AG405" s="53">
        <f t="shared" si="88"/>
        <v>3632.1086179345621</v>
      </c>
      <c r="AH405" s="53">
        <f t="shared" si="88"/>
        <v>-240.42213212174062</v>
      </c>
      <c r="AI405" s="53">
        <f t="shared" si="88"/>
        <v>13709.196061155539</v>
      </c>
      <c r="AJ405" s="53">
        <f t="shared" si="88"/>
        <v>-1716.3032324549192</v>
      </c>
      <c r="AK405" s="53">
        <f t="shared" si="88"/>
        <v>274966499.07999998</v>
      </c>
      <c r="AL405" s="53">
        <f t="shared" si="88"/>
        <v>4949856.9434085283</v>
      </c>
      <c r="AM405" s="53">
        <f t="shared" si="88"/>
        <v>605383.14892311452</v>
      </c>
      <c r="AO405" s="76"/>
    </row>
    <row r="406" spans="1:41" hidden="1" x14ac:dyDescent="0.25">
      <c r="J406" s="93" t="s">
        <v>74</v>
      </c>
      <c r="K406" s="63"/>
      <c r="AG406" s="53">
        <f t="shared" ref="AG406:AM406" si="89">SUMIF($J$11:$J$387,"=Breakfast Cereal",AG$11:AG$387)</f>
        <v>0</v>
      </c>
      <c r="AH406" s="53">
        <f t="shared" si="89"/>
        <v>0</v>
      </c>
      <c r="AI406" s="53">
        <f t="shared" si="89"/>
        <v>0</v>
      </c>
      <c r="AJ406" s="53">
        <f t="shared" si="89"/>
        <v>0</v>
      </c>
      <c r="AK406" s="53">
        <f t="shared" si="89"/>
        <v>0</v>
      </c>
      <c r="AL406" s="53">
        <f t="shared" si="89"/>
        <v>0</v>
      </c>
      <c r="AM406" s="53">
        <f t="shared" si="89"/>
        <v>0</v>
      </c>
    </row>
    <row r="407" spans="1:41" hidden="1" x14ac:dyDescent="0.25">
      <c r="J407" s="93" t="s">
        <v>76</v>
      </c>
      <c r="K407" s="67"/>
      <c r="AG407" s="53">
        <f t="shared" ref="AG407:AM407" si="90">SUMIF($J$11:$J$387,"=Butter, margarine, emulsified or non animal and vegetable fats (low fat spreads), dripping, lard and animal or vegetable cooking fats",AG$11:AG$387)</f>
        <v>0</v>
      </c>
      <c r="AH407" s="53">
        <f t="shared" si="90"/>
        <v>0</v>
      </c>
      <c r="AI407" s="53">
        <f t="shared" si="90"/>
        <v>0</v>
      </c>
      <c r="AJ407" s="53">
        <f t="shared" si="90"/>
        <v>0</v>
      </c>
      <c r="AK407" s="53">
        <f t="shared" si="90"/>
        <v>0</v>
      </c>
      <c r="AL407" s="53">
        <f t="shared" si="90"/>
        <v>0</v>
      </c>
      <c r="AM407" s="53">
        <f t="shared" si="90"/>
        <v>0</v>
      </c>
    </row>
    <row r="408" spans="1:41" hidden="1" x14ac:dyDescent="0.25">
      <c r="J408" s="93" t="s">
        <v>77</v>
      </c>
      <c r="K408" s="64"/>
      <c r="AG408" s="53">
        <f t="shared" ref="AG408:AM408" si="91">SUMIF($J$11:$J$387,"=Cakes and similar confectionery items excluding biscuits and bread",AG$11:AG$387)</f>
        <v>0</v>
      </c>
      <c r="AH408" s="53">
        <f t="shared" si="91"/>
        <v>0</v>
      </c>
      <c r="AI408" s="53">
        <f t="shared" si="91"/>
        <v>0</v>
      </c>
      <c r="AJ408" s="53">
        <f t="shared" si="91"/>
        <v>0</v>
      </c>
      <c r="AK408" s="53">
        <f t="shared" si="91"/>
        <v>0</v>
      </c>
      <c r="AL408" s="53">
        <f t="shared" si="91"/>
        <v>0</v>
      </c>
      <c r="AM408" s="53">
        <f t="shared" si="91"/>
        <v>0</v>
      </c>
    </row>
    <row r="409" spans="1:41" hidden="1" x14ac:dyDescent="0.25">
      <c r="J409" s="93" t="s">
        <v>78</v>
      </c>
      <c r="K409" s="65"/>
      <c r="AG409" s="53">
        <f t="shared" ref="AG409:AM409" si="92">SUMIF($J$11:$J$387,"=Candles",AG$11:AG$387)</f>
        <v>0</v>
      </c>
      <c r="AH409" s="53">
        <f t="shared" si="92"/>
        <v>0</v>
      </c>
      <c r="AI409" s="53">
        <f t="shared" si="92"/>
        <v>0</v>
      </c>
      <c r="AJ409" s="53">
        <f t="shared" si="92"/>
        <v>0</v>
      </c>
      <c r="AK409" s="53">
        <f t="shared" si="92"/>
        <v>0</v>
      </c>
      <c r="AL409" s="53">
        <f t="shared" si="92"/>
        <v>0</v>
      </c>
      <c r="AM409" s="53">
        <f t="shared" si="92"/>
        <v>0</v>
      </c>
    </row>
    <row r="410" spans="1:41" hidden="1" x14ac:dyDescent="0.25">
      <c r="J410" s="93" t="s">
        <v>79</v>
      </c>
      <c r="K410" s="64"/>
      <c r="AG410" s="53">
        <f t="shared" ref="AG410:AM410" si="93">SUMIF($J$11:$J$387,"=Cement",AG$11:AG$387)</f>
        <v>1102.5</v>
      </c>
      <c r="AH410" s="53">
        <f t="shared" si="93"/>
        <v>0</v>
      </c>
      <c r="AI410" s="53">
        <f t="shared" si="93"/>
        <v>1102.5</v>
      </c>
      <c r="AJ410" s="53">
        <f t="shared" si="93"/>
        <v>0</v>
      </c>
      <c r="AK410" s="53">
        <f t="shared" si="93"/>
        <v>11700000</v>
      </c>
      <c r="AL410" s="53">
        <f t="shared" si="93"/>
        <v>57330</v>
      </c>
      <c r="AM410" s="53">
        <f t="shared" si="93"/>
        <v>0</v>
      </c>
    </row>
    <row r="411" spans="1:41" hidden="1" x14ac:dyDescent="0.25">
      <c r="J411" s="93" t="s">
        <v>80</v>
      </c>
      <c r="K411" s="64"/>
      <c r="AG411" s="53">
        <f t="shared" ref="AG411:AM411" si="94">SUMIF($J$11:$J$387,"=Cheese",AG$11:AG$387)</f>
        <v>0</v>
      </c>
      <c r="AH411" s="53">
        <f t="shared" si="94"/>
        <v>0</v>
      </c>
      <c r="AI411" s="53">
        <f t="shared" si="94"/>
        <v>0</v>
      </c>
      <c r="AJ411" s="53">
        <f t="shared" si="94"/>
        <v>0</v>
      </c>
      <c r="AK411" s="53">
        <f t="shared" si="94"/>
        <v>0</v>
      </c>
      <c r="AL411" s="53">
        <f t="shared" si="94"/>
        <v>0</v>
      </c>
      <c r="AM411" s="53">
        <f t="shared" si="94"/>
        <v>0</v>
      </c>
    </row>
    <row r="412" spans="1:41" hidden="1" x14ac:dyDescent="0.25">
      <c r="J412" s="93" t="s">
        <v>143</v>
      </c>
      <c r="K412" s="64"/>
      <c r="AG412" s="53">
        <f t="shared" ref="AG412:AM412" si="95">SUMIF($J$11:$J$387,"=Chocolate &amp; Sugar Confectionery",AG$11:AG$387)</f>
        <v>3054.2999999999965</v>
      </c>
      <c r="AH412" s="53">
        <f t="shared" si="95"/>
        <v>0</v>
      </c>
      <c r="AI412" s="53">
        <f t="shared" si="95"/>
        <v>9547.7999999999993</v>
      </c>
      <c r="AJ412" s="53">
        <f t="shared" si="95"/>
        <v>0</v>
      </c>
      <c r="AK412" s="53">
        <f t="shared" si="95"/>
        <v>42900000</v>
      </c>
      <c r="AL412" s="53">
        <f t="shared" si="95"/>
        <v>2482427.9999999995</v>
      </c>
      <c r="AM412" s="53">
        <f t="shared" si="95"/>
        <v>0</v>
      </c>
    </row>
    <row r="413" spans="1:41" hidden="1" x14ac:dyDescent="0.25">
      <c r="J413" s="93" t="s">
        <v>81</v>
      </c>
      <c r="K413" s="64"/>
      <c r="AG413" s="53">
        <f t="shared" ref="AG413:AM413" si="96">SUMIF($J$11:$J$387,"=Cleaning materials",AG$11:AG$387)</f>
        <v>0</v>
      </c>
      <c r="AH413" s="53">
        <f t="shared" si="96"/>
        <v>0</v>
      </c>
      <c r="AI413" s="53">
        <f t="shared" si="96"/>
        <v>0</v>
      </c>
      <c r="AJ413" s="53">
        <f t="shared" si="96"/>
        <v>0</v>
      </c>
      <c r="AK413" s="53">
        <f t="shared" si="96"/>
        <v>0</v>
      </c>
      <c r="AL413" s="53">
        <f t="shared" si="96"/>
        <v>0</v>
      </c>
      <c r="AM413" s="53">
        <f t="shared" si="96"/>
        <v>0</v>
      </c>
    </row>
    <row r="414" spans="1:41" hidden="1" x14ac:dyDescent="0.25">
      <c r="J414" s="93" t="s">
        <v>82</v>
      </c>
      <c r="K414" s="63"/>
      <c r="AG414" s="53">
        <f t="shared" ref="AG414:AM414" si="97">SUMIF($J$11:$J$387,"=Coal, anthracite, coke and charcoal",AG$11:AG$387)</f>
        <v>0</v>
      </c>
      <c r="AH414" s="53">
        <f t="shared" si="97"/>
        <v>0</v>
      </c>
      <c r="AI414" s="53">
        <f t="shared" si="97"/>
        <v>0</v>
      </c>
      <c r="AJ414" s="53">
        <f t="shared" si="97"/>
        <v>0</v>
      </c>
      <c r="AK414" s="53">
        <f t="shared" si="97"/>
        <v>0</v>
      </c>
      <c r="AL414" s="53">
        <f t="shared" si="97"/>
        <v>0</v>
      </c>
      <c r="AM414" s="53">
        <f t="shared" si="97"/>
        <v>0</v>
      </c>
    </row>
    <row r="415" spans="1:41" hidden="1" x14ac:dyDescent="0.25">
      <c r="J415" s="93" t="s">
        <v>144</v>
      </c>
      <c r="K415" s="65"/>
      <c r="AG415" s="53">
        <f t="shared" ref="AG415:AM415" si="98">SUMIF($J$11:$J$387,"=Coffee and chicory  – beans or ground, pure, mixtures and instant",AG$11:AG$387)</f>
        <v>0</v>
      </c>
      <c r="AH415" s="53">
        <f t="shared" si="98"/>
        <v>0</v>
      </c>
      <c r="AI415" s="53">
        <f t="shared" si="98"/>
        <v>0</v>
      </c>
      <c r="AJ415" s="53">
        <f t="shared" si="98"/>
        <v>0</v>
      </c>
      <c r="AK415" s="53">
        <f t="shared" si="98"/>
        <v>0</v>
      </c>
      <c r="AL415" s="53">
        <f t="shared" si="98"/>
        <v>0</v>
      </c>
      <c r="AM415" s="53">
        <f t="shared" si="98"/>
        <v>0</v>
      </c>
    </row>
    <row r="416" spans="1:41" ht="19.5" hidden="1" x14ac:dyDescent="0.25">
      <c r="J416" s="92" t="s">
        <v>146</v>
      </c>
      <c r="K416" s="68"/>
      <c r="AG416" s="53">
        <f t="shared" ref="AG416:AM416" si="99">SUMIF($J$11:$J$387,"=Coffee Instant 250g",AG$11:AG$387)</f>
        <v>0</v>
      </c>
      <c r="AH416" s="53">
        <f t="shared" si="99"/>
        <v>0</v>
      </c>
      <c r="AI416" s="53">
        <f t="shared" si="99"/>
        <v>0</v>
      </c>
      <c r="AJ416" s="53">
        <f t="shared" si="99"/>
        <v>0</v>
      </c>
      <c r="AK416" s="53">
        <f t="shared" si="99"/>
        <v>0</v>
      </c>
      <c r="AL416" s="53">
        <f t="shared" si="99"/>
        <v>0</v>
      </c>
      <c r="AM416" s="53">
        <f t="shared" si="99"/>
        <v>0</v>
      </c>
    </row>
    <row r="417" spans="10:39" hidden="1" x14ac:dyDescent="0.25">
      <c r="J417" s="93" t="s">
        <v>145</v>
      </c>
      <c r="K417" s="65"/>
      <c r="AG417" s="53">
        <f t="shared" ref="AG417:AM417" si="100">SUMIF($J$11:$J$387,"=Coffee Instant other",AG$11:AG$387)</f>
        <v>14.247999999999998</v>
      </c>
      <c r="AH417" s="53">
        <f t="shared" si="100"/>
        <v>0</v>
      </c>
      <c r="AI417" s="53">
        <f t="shared" si="100"/>
        <v>29.599999999999994</v>
      </c>
      <c r="AJ417" s="53">
        <f t="shared" si="100"/>
        <v>0</v>
      </c>
      <c r="AK417" s="53">
        <f t="shared" si="100"/>
        <v>1612000</v>
      </c>
      <c r="AL417" s="53">
        <f t="shared" si="100"/>
        <v>7696</v>
      </c>
      <c r="AM417" s="53">
        <f t="shared" si="100"/>
        <v>0</v>
      </c>
    </row>
    <row r="418" spans="10:39" hidden="1" x14ac:dyDescent="0.25">
      <c r="J418" s="93" t="s">
        <v>83</v>
      </c>
      <c r="K418" s="65"/>
      <c r="AG418" s="53">
        <f t="shared" ref="AG418:AM418" si="101">SUMIF($J$11:$J$387,"=Compost, potting soil and similar products for garden use excluding fertilizer",AG$11:AG$387)</f>
        <v>0</v>
      </c>
      <c r="AH418" s="53">
        <f t="shared" si="101"/>
        <v>0</v>
      </c>
      <c r="AI418" s="53">
        <f t="shared" si="101"/>
        <v>0</v>
      </c>
      <c r="AJ418" s="53">
        <f t="shared" si="101"/>
        <v>0</v>
      </c>
      <c r="AK418" s="53">
        <f t="shared" si="101"/>
        <v>0</v>
      </c>
      <c r="AL418" s="53">
        <f t="shared" si="101"/>
        <v>0</v>
      </c>
      <c r="AM418" s="53">
        <f t="shared" si="101"/>
        <v>0</v>
      </c>
    </row>
    <row r="419" spans="10:39" hidden="1" x14ac:dyDescent="0.25">
      <c r="J419" s="93" t="s">
        <v>147</v>
      </c>
      <c r="K419" s="67"/>
      <c r="AG419" s="53">
        <f t="shared" ref="AG419:AM419" si="102">SUMIF($J$11:$J$387,"=Condensed milk",AG$11:AG$387)</f>
        <v>0</v>
      </c>
      <c r="AH419" s="53">
        <f t="shared" si="102"/>
        <v>0</v>
      </c>
      <c r="AI419" s="53">
        <f t="shared" si="102"/>
        <v>0</v>
      </c>
      <c r="AJ419" s="53">
        <f t="shared" si="102"/>
        <v>0</v>
      </c>
      <c r="AK419" s="53">
        <f t="shared" si="102"/>
        <v>0</v>
      </c>
      <c r="AL419" s="53">
        <f t="shared" si="102"/>
        <v>0</v>
      </c>
      <c r="AM419" s="53">
        <f t="shared" si="102"/>
        <v>0</v>
      </c>
    </row>
    <row r="420" spans="10:39" hidden="1" x14ac:dyDescent="0.25">
      <c r="J420" s="93" t="s">
        <v>84</v>
      </c>
      <c r="K420" s="64"/>
      <c r="AG420" s="53">
        <f t="shared" ref="AG420:AM420" si="103">SUMIF($J$11:$J$387,"=Condiment, seasoning, relish and flavouring liquids, sauces and pastes with or without solid components including mayonnaise, chutney, mustard and ketchup (tomato sauce)",AG$11:AG$387)</f>
        <v>0</v>
      </c>
      <c r="AH420" s="53">
        <f t="shared" si="103"/>
        <v>0</v>
      </c>
      <c r="AI420" s="53">
        <f t="shared" si="103"/>
        <v>0</v>
      </c>
      <c r="AJ420" s="53">
        <f t="shared" si="103"/>
        <v>0</v>
      </c>
      <c r="AK420" s="53">
        <f t="shared" si="103"/>
        <v>0</v>
      </c>
      <c r="AL420" s="53">
        <f t="shared" si="103"/>
        <v>0</v>
      </c>
      <c r="AM420" s="53">
        <f t="shared" si="103"/>
        <v>0</v>
      </c>
    </row>
    <row r="421" spans="10:39" hidden="1" x14ac:dyDescent="0.25">
      <c r="J421" s="93" t="s">
        <v>148</v>
      </c>
      <c r="K421" s="67"/>
      <c r="AG421" s="53">
        <f t="shared" ref="AG421:AM421" si="104">SUMIF($J$11:$J$387,"=Condiments Sauces",AG$11:AG$387)</f>
        <v>0</v>
      </c>
      <c r="AH421" s="53">
        <f t="shared" si="104"/>
        <v>0</v>
      </c>
      <c r="AI421" s="53">
        <f t="shared" si="104"/>
        <v>0</v>
      </c>
      <c r="AJ421" s="53">
        <f t="shared" si="104"/>
        <v>0</v>
      </c>
      <c r="AK421" s="53">
        <f t="shared" si="104"/>
        <v>0</v>
      </c>
      <c r="AL421" s="53">
        <f t="shared" si="104"/>
        <v>0</v>
      </c>
      <c r="AM421" s="53">
        <f t="shared" si="104"/>
        <v>0</v>
      </c>
    </row>
    <row r="422" spans="10:39" hidden="1" x14ac:dyDescent="0.25">
      <c r="J422" s="93" t="s">
        <v>85</v>
      </c>
      <c r="K422" s="67"/>
      <c r="AG422" s="53">
        <f t="shared" ref="AG422:AM422" si="105">SUMIF($J$11:$J$387,"=Cosmetics and toiletries",AG$11:AG$387)</f>
        <v>0</v>
      </c>
      <c r="AH422" s="53">
        <f t="shared" si="105"/>
        <v>0</v>
      </c>
      <c r="AI422" s="53">
        <f t="shared" si="105"/>
        <v>0</v>
      </c>
      <c r="AJ422" s="53">
        <f t="shared" si="105"/>
        <v>0</v>
      </c>
      <c r="AK422" s="53">
        <f t="shared" si="105"/>
        <v>0</v>
      </c>
      <c r="AL422" s="53">
        <f t="shared" si="105"/>
        <v>0</v>
      </c>
      <c r="AM422" s="53">
        <f t="shared" si="105"/>
        <v>0</v>
      </c>
    </row>
    <row r="423" spans="10:39" hidden="1" x14ac:dyDescent="0.25">
      <c r="J423" s="93" t="s">
        <v>86</v>
      </c>
      <c r="K423" s="64"/>
      <c r="AG423" s="53">
        <f t="shared" ref="AG423:AM423" si="106">SUMIF($J$11:$J$387,"=Cotton wool and pads used for surgical, medical, first aid and toilet purposes",AG$11:AG$387)</f>
        <v>0</v>
      </c>
      <c r="AH423" s="53">
        <f t="shared" si="106"/>
        <v>0</v>
      </c>
      <c r="AI423" s="53">
        <f t="shared" si="106"/>
        <v>0</v>
      </c>
      <c r="AJ423" s="53">
        <f t="shared" si="106"/>
        <v>0</v>
      </c>
      <c r="AK423" s="53">
        <f t="shared" si="106"/>
        <v>0</v>
      </c>
      <c r="AL423" s="53">
        <f t="shared" si="106"/>
        <v>0</v>
      </c>
      <c r="AM423" s="53">
        <f t="shared" si="106"/>
        <v>0</v>
      </c>
    </row>
    <row r="424" spans="10:39" hidden="1" x14ac:dyDescent="0.25">
      <c r="J424" s="93" t="s">
        <v>87</v>
      </c>
      <c r="K424" s="64"/>
      <c r="AG424" s="53">
        <f t="shared" ref="AG424:AM424" si="107">SUMIF($J$11:$J$387,"=Crisps",AG$11:AG$387)</f>
        <v>565.90909090909099</v>
      </c>
      <c r="AH424" s="53">
        <f t="shared" si="107"/>
        <v>0</v>
      </c>
      <c r="AI424" s="53">
        <f t="shared" si="107"/>
        <v>565.90909090909099</v>
      </c>
      <c r="AJ424" s="53">
        <f t="shared" si="107"/>
        <v>0</v>
      </c>
      <c r="AK424" s="53">
        <f t="shared" si="107"/>
        <v>3276000</v>
      </c>
      <c r="AL424" s="53">
        <f t="shared" si="107"/>
        <v>205990.90909090912</v>
      </c>
      <c r="AM424" s="53">
        <f t="shared" si="107"/>
        <v>0</v>
      </c>
    </row>
    <row r="425" spans="10:39" hidden="1" x14ac:dyDescent="0.25">
      <c r="J425" s="92" t="s">
        <v>149</v>
      </c>
      <c r="K425" s="65"/>
      <c r="AG425" s="53">
        <f t="shared" ref="AG425:AM425" si="108">SUMIF($J$11:$J$387,"=Dried Beans Butter Beans (500g)",AG$11:AG$387)</f>
        <v>0</v>
      </c>
      <c r="AH425" s="53">
        <f t="shared" si="108"/>
        <v>0</v>
      </c>
      <c r="AI425" s="53">
        <f t="shared" si="108"/>
        <v>0</v>
      </c>
      <c r="AJ425" s="53">
        <f t="shared" si="108"/>
        <v>0</v>
      </c>
      <c r="AK425" s="53">
        <f t="shared" si="108"/>
        <v>0</v>
      </c>
      <c r="AL425" s="53">
        <f t="shared" si="108"/>
        <v>0</v>
      </c>
      <c r="AM425" s="53">
        <f t="shared" si="108"/>
        <v>0</v>
      </c>
    </row>
    <row r="426" spans="10:39" hidden="1" x14ac:dyDescent="0.25">
      <c r="J426" s="92" t="s">
        <v>150</v>
      </c>
      <c r="K426" s="64"/>
      <c r="AG426" s="53">
        <f t="shared" ref="AG426:AM426" si="109">SUMIF($J$11:$J$387,"=Dried Beans Sugar beans (500g)",AG$11:AG$387)</f>
        <v>0</v>
      </c>
      <c r="AH426" s="53">
        <f t="shared" si="109"/>
        <v>0</v>
      </c>
      <c r="AI426" s="53">
        <f t="shared" si="109"/>
        <v>0</v>
      </c>
      <c r="AJ426" s="53">
        <f t="shared" si="109"/>
        <v>0</v>
      </c>
      <c r="AK426" s="53">
        <f t="shared" si="109"/>
        <v>0</v>
      </c>
      <c r="AL426" s="53">
        <f t="shared" si="109"/>
        <v>0</v>
      </c>
      <c r="AM426" s="53">
        <f t="shared" si="109"/>
        <v>0</v>
      </c>
    </row>
    <row r="427" spans="10:39" hidden="1" x14ac:dyDescent="0.25">
      <c r="J427" s="93" t="s">
        <v>88</v>
      </c>
      <c r="K427" s="65"/>
      <c r="AG427" s="53">
        <f t="shared" ref="AG427:AM427" si="110">SUMIF($J$11:$J$387,"=Dried beans, dried peas, pea flour, lentils, pearl barley and similar pulses",AG$11:AG$387)</f>
        <v>0</v>
      </c>
      <c r="AH427" s="53">
        <f t="shared" si="110"/>
        <v>0</v>
      </c>
      <c r="AI427" s="53">
        <f t="shared" si="110"/>
        <v>0</v>
      </c>
      <c r="AJ427" s="53">
        <f t="shared" si="110"/>
        <v>0</v>
      </c>
      <c r="AK427" s="53">
        <f t="shared" si="110"/>
        <v>0</v>
      </c>
      <c r="AL427" s="53">
        <f t="shared" si="110"/>
        <v>0</v>
      </c>
      <c r="AM427" s="53">
        <f t="shared" si="110"/>
        <v>0</v>
      </c>
    </row>
    <row r="428" spans="10:39" hidden="1" x14ac:dyDescent="0.25">
      <c r="J428" s="93" t="s">
        <v>89</v>
      </c>
      <c r="K428" s="64"/>
      <c r="AG428" s="53">
        <f t="shared" ref="AG428:AM428" si="111">SUMIF($J$11:$J$387,"=Edible Nuts",AG$11:AG$387)</f>
        <v>0</v>
      </c>
      <c r="AH428" s="53">
        <f t="shared" si="111"/>
        <v>0</v>
      </c>
      <c r="AI428" s="53">
        <f t="shared" si="111"/>
        <v>0</v>
      </c>
      <c r="AJ428" s="53">
        <f t="shared" si="111"/>
        <v>0</v>
      </c>
      <c r="AK428" s="53">
        <f t="shared" si="111"/>
        <v>0</v>
      </c>
      <c r="AL428" s="53">
        <f t="shared" si="111"/>
        <v>0</v>
      </c>
      <c r="AM428" s="53">
        <f t="shared" si="111"/>
        <v>0</v>
      </c>
    </row>
    <row r="429" spans="10:39" hidden="1" x14ac:dyDescent="0.25">
      <c r="J429" s="93" t="s">
        <v>90</v>
      </c>
      <c r="K429" s="65"/>
      <c r="AG429" s="53">
        <f t="shared" ref="AG429:AM429" si="112">SUMIF($J$11:$J$387,"=Edible Oil",AG$11:AG$387)</f>
        <v>1668.5000000000016</v>
      </c>
      <c r="AH429" s="53">
        <f t="shared" si="112"/>
        <v>0</v>
      </c>
      <c r="AI429" s="53">
        <f t="shared" si="112"/>
        <v>1668.5000000000016</v>
      </c>
      <c r="AJ429" s="53">
        <f t="shared" si="112"/>
        <v>0</v>
      </c>
      <c r="AK429" s="53">
        <f t="shared" si="112"/>
        <v>13442000</v>
      </c>
      <c r="AL429" s="53">
        <f t="shared" si="112"/>
        <v>86762.000000000087</v>
      </c>
      <c r="AM429" s="53">
        <f t="shared" si="112"/>
        <v>0</v>
      </c>
    </row>
    <row r="430" spans="10:39" hidden="1" x14ac:dyDescent="0.25">
      <c r="J430" s="93"/>
      <c r="K430" s="65"/>
      <c r="AG430" s="53"/>
      <c r="AH430" s="53"/>
      <c r="AI430" s="53"/>
      <c r="AJ430" s="53"/>
      <c r="AK430" s="53"/>
      <c r="AL430" s="53"/>
      <c r="AM430" s="53"/>
    </row>
    <row r="431" spans="10:39" hidden="1" x14ac:dyDescent="0.25">
      <c r="J431" s="93"/>
      <c r="K431" s="65"/>
      <c r="AG431" s="53"/>
      <c r="AH431" s="53"/>
      <c r="AI431" s="53"/>
      <c r="AJ431" s="53"/>
      <c r="AK431" s="53"/>
      <c r="AL431" s="53"/>
      <c r="AM431" s="53"/>
    </row>
    <row r="432" spans="10:39" hidden="1" x14ac:dyDescent="0.25">
      <c r="J432" s="93"/>
      <c r="K432" s="65"/>
      <c r="AG432" s="53"/>
      <c r="AH432" s="53"/>
      <c r="AI432" s="53"/>
      <c r="AJ432" s="53"/>
      <c r="AK432" s="53"/>
      <c r="AL432" s="53"/>
      <c r="AM432" s="53"/>
    </row>
    <row r="433" spans="10:41" hidden="1" x14ac:dyDescent="0.25">
      <c r="J433" s="92" t="s">
        <v>151</v>
      </c>
      <c r="K433" s="65"/>
      <c r="AG433" s="53">
        <f t="shared" ref="AG433:AM433" si="113">SUMIF($J$11:$J$387,"=Edible oil Sunflower Oil 750ml ",AG$11:AG$387)</f>
        <v>0</v>
      </c>
      <c r="AH433" s="53">
        <f t="shared" si="113"/>
        <v>0</v>
      </c>
      <c r="AI433" s="53">
        <f t="shared" si="113"/>
        <v>0</v>
      </c>
      <c r="AJ433" s="53">
        <f t="shared" si="113"/>
        <v>0</v>
      </c>
      <c r="AK433" s="53">
        <f t="shared" si="113"/>
        <v>0</v>
      </c>
      <c r="AL433" s="53">
        <f t="shared" si="113"/>
        <v>0</v>
      </c>
      <c r="AM433" s="53">
        <f t="shared" si="113"/>
        <v>0</v>
      </c>
    </row>
    <row r="434" spans="10:41" hidden="1" x14ac:dyDescent="0.25">
      <c r="J434" s="93" t="s">
        <v>152</v>
      </c>
      <c r="K434" s="64"/>
      <c r="AG434" s="53">
        <f t="shared" ref="AG434:AM434" si="114">SUMIF($J$11:$J$387,"=Edible oil: Other Sunflower oil",AG$11:AG$387)</f>
        <v>0</v>
      </c>
      <c r="AH434" s="53">
        <f t="shared" si="114"/>
        <v>0</v>
      </c>
      <c r="AI434" s="53">
        <f t="shared" si="114"/>
        <v>0</v>
      </c>
      <c r="AJ434" s="53">
        <f t="shared" si="114"/>
        <v>0</v>
      </c>
      <c r="AK434" s="53">
        <f t="shared" si="114"/>
        <v>0</v>
      </c>
      <c r="AL434" s="53">
        <f t="shared" si="114"/>
        <v>0</v>
      </c>
      <c r="AM434" s="53">
        <f t="shared" si="114"/>
        <v>0</v>
      </c>
    </row>
    <row r="435" spans="10:41" hidden="1" x14ac:dyDescent="0.25">
      <c r="J435" s="93" t="s">
        <v>153</v>
      </c>
      <c r="K435" s="65"/>
      <c r="AG435" s="53">
        <f t="shared" ref="AG435:AM435" si="115">SUMIF($J$11:$J$387,"=Edible oils: Other than sunflower oil",AG$11:AG$387)</f>
        <v>0</v>
      </c>
      <c r="AH435" s="53">
        <f t="shared" si="115"/>
        <v>0</v>
      </c>
      <c r="AI435" s="53">
        <f t="shared" si="115"/>
        <v>0</v>
      </c>
      <c r="AJ435" s="53">
        <f t="shared" si="115"/>
        <v>0</v>
      </c>
      <c r="AK435" s="53">
        <f t="shared" si="115"/>
        <v>0</v>
      </c>
      <c r="AL435" s="53">
        <f t="shared" si="115"/>
        <v>0</v>
      </c>
      <c r="AM435" s="53">
        <f t="shared" si="115"/>
        <v>0</v>
      </c>
    </row>
    <row r="436" spans="10:41" hidden="1" x14ac:dyDescent="0.25">
      <c r="J436" s="93" t="s">
        <v>154</v>
      </c>
      <c r="K436" s="64"/>
      <c r="AG436" s="53">
        <f t="shared" ref="AG436:AM436" si="116">SUMIF($J$11:$J$387,"=Fish &amp; Seafood other",AG$11:AG$387)</f>
        <v>19110.841911764706</v>
      </c>
      <c r="AH436" s="53">
        <f t="shared" si="116"/>
        <v>-713.40500000000009</v>
      </c>
      <c r="AI436" s="53">
        <f t="shared" si="116"/>
        <v>19111.419411764709</v>
      </c>
      <c r="AJ436" s="53">
        <f t="shared" si="116"/>
        <v>-713.40500000000009</v>
      </c>
      <c r="AK436" s="53">
        <f t="shared" si="116"/>
        <v>82437885.088</v>
      </c>
      <c r="AL436" s="53">
        <f t="shared" si="116"/>
        <v>2205881.0494117644</v>
      </c>
      <c r="AM436" s="53">
        <f t="shared" si="116"/>
        <v>37097.060000000005</v>
      </c>
    </row>
    <row r="437" spans="10:41" hidden="1" x14ac:dyDescent="0.25">
      <c r="J437" s="92" t="s">
        <v>155</v>
      </c>
      <c r="K437" s="67"/>
      <c r="AG437" s="53">
        <f t="shared" ref="AG437:AM437" si="117">SUMIF($J$11:$J$387,"=Fish Canned Pilchards 425g ",AG$11:AG$387)</f>
        <v>0</v>
      </c>
      <c r="AH437" s="53">
        <f t="shared" si="117"/>
        <v>0</v>
      </c>
      <c r="AI437" s="53">
        <f t="shared" si="117"/>
        <v>0</v>
      </c>
      <c r="AJ437" s="53">
        <f t="shared" si="117"/>
        <v>0</v>
      </c>
      <c r="AK437" s="53">
        <f t="shared" si="117"/>
        <v>0</v>
      </c>
      <c r="AL437" s="53">
        <f t="shared" si="117"/>
        <v>0</v>
      </c>
      <c r="AM437" s="53">
        <f t="shared" si="117"/>
        <v>0</v>
      </c>
    </row>
    <row r="438" spans="10:41" hidden="1" x14ac:dyDescent="0.25">
      <c r="J438" s="92" t="s">
        <v>156</v>
      </c>
      <c r="K438" s="64"/>
      <c r="AG438" s="53">
        <f t="shared" ref="AG438:AM438" si="118">SUMIF($J$11:$J$387,"=Fish Fresh, chilled or frozen fish",AG$11:AG$387)</f>
        <v>6847.105263157895</v>
      </c>
      <c r="AH438" s="53">
        <f t="shared" si="118"/>
        <v>0</v>
      </c>
      <c r="AI438" s="53">
        <f t="shared" si="118"/>
        <v>6847.105263157895</v>
      </c>
      <c r="AJ438" s="53">
        <f t="shared" si="118"/>
        <v>0</v>
      </c>
      <c r="AK438" s="53">
        <f t="shared" si="118"/>
        <v>135298800</v>
      </c>
      <c r="AL438" s="53">
        <f t="shared" si="118"/>
        <v>2492346.3157894737</v>
      </c>
      <c r="AM438" s="53">
        <f t="shared" si="118"/>
        <v>0</v>
      </c>
    </row>
    <row r="439" spans="10:41" hidden="1" x14ac:dyDescent="0.25">
      <c r="J439" s="93" t="s">
        <v>157</v>
      </c>
      <c r="K439" s="63"/>
      <c r="AG439" s="53">
        <f t="shared" ref="AG439:AM439" si="119">SUMIF($J$11:$J$387,"=Flour Sorghum meal",AG$11:AG$387)</f>
        <v>0</v>
      </c>
      <c r="AH439" s="53">
        <f t="shared" si="119"/>
        <v>0</v>
      </c>
      <c r="AI439" s="53">
        <f t="shared" si="119"/>
        <v>0</v>
      </c>
      <c r="AJ439" s="53">
        <f t="shared" si="119"/>
        <v>0</v>
      </c>
      <c r="AK439" s="53">
        <f t="shared" si="119"/>
        <v>0</v>
      </c>
      <c r="AL439" s="53">
        <f t="shared" si="119"/>
        <v>0</v>
      </c>
      <c r="AM439" s="53">
        <f t="shared" si="119"/>
        <v>0</v>
      </c>
    </row>
    <row r="440" spans="10:41" hidden="1" x14ac:dyDescent="0.25">
      <c r="J440" s="93" t="s">
        <v>91</v>
      </c>
      <c r="K440" s="64"/>
      <c r="AG440" s="53">
        <f t="shared" ref="AG440:AM440" si="120">SUMIF($J$11:$J$387,"=Flour: Wheaten meal and wheaten flour including self raising flour, rye meal and rye flour",AG$11:AG$387)</f>
        <v>0</v>
      </c>
      <c r="AH440" s="53">
        <f t="shared" si="120"/>
        <v>0</v>
      </c>
      <c r="AI440" s="53">
        <f t="shared" si="120"/>
        <v>0</v>
      </c>
      <c r="AJ440" s="53">
        <f t="shared" si="120"/>
        <v>0</v>
      </c>
      <c r="AK440" s="53">
        <f t="shared" si="120"/>
        <v>0</v>
      </c>
      <c r="AL440" s="53">
        <f t="shared" si="120"/>
        <v>0</v>
      </c>
      <c r="AM440" s="53">
        <f t="shared" si="120"/>
        <v>0</v>
      </c>
    </row>
    <row r="441" spans="10:41" hidden="1" x14ac:dyDescent="0.25">
      <c r="J441" s="93" t="s">
        <v>92</v>
      </c>
      <c r="K441" s="64"/>
      <c r="AG441" s="53">
        <f t="shared" ref="AG441:AM441" si="121">SUMIF($J$11:$J$387,"=Fruit and vegetables a) Fresh",AG$11:AG$387)</f>
        <v>261.6890869254371</v>
      </c>
      <c r="AH441" s="53">
        <f t="shared" si="121"/>
        <v>-3.4253319786891283</v>
      </c>
      <c r="AI441" s="53">
        <f t="shared" si="121"/>
        <v>281.7064542593244</v>
      </c>
      <c r="AJ441" s="53">
        <f t="shared" si="121"/>
        <v>-4.0492582889356843</v>
      </c>
      <c r="AK441" s="53">
        <f t="shared" si="121"/>
        <v>6016031.3849999998</v>
      </c>
      <c r="AL441" s="53">
        <f t="shared" si="121"/>
        <v>102541.14935039409</v>
      </c>
      <c r="AM441" s="53">
        <f t="shared" si="121"/>
        <v>1473.930017172589</v>
      </c>
    </row>
    <row r="442" spans="10:41" hidden="1" x14ac:dyDescent="0.25">
      <c r="J442" s="93" t="s">
        <v>93</v>
      </c>
      <c r="K442" s="67"/>
      <c r="AG442" s="53">
        <f t="shared" ref="AG442:AM442" si="122">SUMIF($J$11:$J$387,"=Fruit and vegetables a) Frozen",AG$11:AG$387)</f>
        <v>0</v>
      </c>
      <c r="AH442" s="53">
        <f t="shared" si="122"/>
        <v>0</v>
      </c>
      <c r="AI442" s="53">
        <f t="shared" si="122"/>
        <v>0</v>
      </c>
      <c r="AJ442" s="53">
        <f t="shared" si="122"/>
        <v>0</v>
      </c>
      <c r="AK442" s="53">
        <f t="shared" si="122"/>
        <v>0</v>
      </c>
      <c r="AL442" s="53">
        <f t="shared" si="122"/>
        <v>0</v>
      </c>
      <c r="AM442" s="53">
        <f t="shared" si="122"/>
        <v>0</v>
      </c>
    </row>
    <row r="443" spans="10:41" hidden="1" x14ac:dyDescent="0.25">
      <c r="J443" s="93" t="s">
        <v>94</v>
      </c>
      <c r="K443" s="64"/>
      <c r="AG443" s="53">
        <f t="shared" ref="AG443:AM443" si="123">SUMIF($J$11:$J$387,"=Fruit and vegetables c) Canned (fruit, fruit pulp and  vegetables)",AG$11:AG$387)</f>
        <v>0</v>
      </c>
      <c r="AH443" s="53">
        <f t="shared" si="123"/>
        <v>0</v>
      </c>
      <c r="AI443" s="53">
        <f t="shared" si="123"/>
        <v>0</v>
      </c>
      <c r="AJ443" s="53">
        <f t="shared" si="123"/>
        <v>0</v>
      </c>
      <c r="AK443" s="53">
        <f t="shared" si="123"/>
        <v>0</v>
      </c>
      <c r="AL443" s="53">
        <f t="shared" si="123"/>
        <v>0</v>
      </c>
      <c r="AM443" s="53">
        <f t="shared" si="123"/>
        <v>0</v>
      </c>
    </row>
    <row r="444" spans="10:41" hidden="1" x14ac:dyDescent="0.25">
      <c r="J444" s="92" t="s">
        <v>158</v>
      </c>
      <c r="K444" s="65"/>
      <c r="AG444" s="53">
        <f t="shared" ref="AG444:AM444" si="124">SUMIF($J$11:$J$387,"=Fruit Apples/1.5kg bag",AG$11:AG$387)</f>
        <v>0</v>
      </c>
      <c r="AH444" s="53">
        <f t="shared" si="124"/>
        <v>0</v>
      </c>
      <c r="AI444" s="53">
        <f t="shared" si="124"/>
        <v>0</v>
      </c>
      <c r="AJ444" s="53">
        <f t="shared" si="124"/>
        <v>0</v>
      </c>
      <c r="AK444" s="53">
        <f t="shared" si="124"/>
        <v>0</v>
      </c>
      <c r="AL444" s="53">
        <f t="shared" si="124"/>
        <v>0</v>
      </c>
      <c r="AM444" s="53">
        <f t="shared" si="124"/>
        <v>0</v>
      </c>
      <c r="AO444" s="56"/>
    </row>
    <row r="445" spans="10:41" hidden="1" x14ac:dyDescent="0.25">
      <c r="J445" s="92" t="s">
        <v>159</v>
      </c>
      <c r="K445" s="65"/>
      <c r="AG445" s="53">
        <f t="shared" ref="AG445:AM445" si="125">SUMIF($J$11:$J$387,"=Fruit Bananas/kg",AG$11:AG$387)</f>
        <v>0</v>
      </c>
      <c r="AH445" s="53">
        <f t="shared" si="125"/>
        <v>0</v>
      </c>
      <c r="AI445" s="53">
        <f t="shared" si="125"/>
        <v>0</v>
      </c>
      <c r="AJ445" s="53">
        <f t="shared" si="125"/>
        <v>0</v>
      </c>
      <c r="AK445" s="53">
        <f t="shared" si="125"/>
        <v>0</v>
      </c>
      <c r="AL445" s="53">
        <f t="shared" si="125"/>
        <v>0</v>
      </c>
      <c r="AM445" s="53">
        <f t="shared" si="125"/>
        <v>0</v>
      </c>
    </row>
    <row r="446" spans="10:41" hidden="1" x14ac:dyDescent="0.25">
      <c r="J446" s="93" t="s">
        <v>95</v>
      </c>
      <c r="K446" s="64"/>
      <c r="AG446" s="53">
        <f t="shared" ref="AG446:AM446" si="126">SUMIF($J$11:$J$387,"=Fruit drinks (undiluted)",AG$11:AG$387)</f>
        <v>0</v>
      </c>
      <c r="AH446" s="53">
        <f t="shared" si="126"/>
        <v>0</v>
      </c>
      <c r="AI446" s="53">
        <f t="shared" si="126"/>
        <v>0</v>
      </c>
      <c r="AJ446" s="53">
        <f t="shared" si="126"/>
        <v>0</v>
      </c>
      <c r="AK446" s="53">
        <f t="shared" si="126"/>
        <v>0</v>
      </c>
      <c r="AL446" s="53">
        <f t="shared" si="126"/>
        <v>0</v>
      </c>
      <c r="AM446" s="53">
        <f t="shared" si="126"/>
        <v>0</v>
      </c>
    </row>
    <row r="447" spans="10:41" hidden="1" x14ac:dyDescent="0.25">
      <c r="J447" s="93" t="s">
        <v>160</v>
      </c>
      <c r="K447" s="64"/>
      <c r="AG447" s="53">
        <f t="shared" ref="AG447:AM447" si="127">SUMIF($J$11:$J$387,"=Fruit juices",AG$11:AG$387)</f>
        <v>2130.3333333333335</v>
      </c>
      <c r="AH447" s="53">
        <f t="shared" si="127"/>
        <v>-64.6804199999996</v>
      </c>
      <c r="AI447" s="53">
        <f t="shared" si="127"/>
        <v>2130.3333333333335</v>
      </c>
      <c r="AJ447" s="53">
        <f t="shared" si="127"/>
        <v>-119.83523999999942</v>
      </c>
      <c r="AK447" s="53">
        <f t="shared" si="127"/>
        <v>27928784</v>
      </c>
      <c r="AL447" s="53">
        <f t="shared" si="127"/>
        <v>553886.66666666663</v>
      </c>
      <c r="AM447" s="53">
        <f t="shared" si="127"/>
        <v>36885.494879999838</v>
      </c>
    </row>
    <row r="448" spans="10:41" hidden="1" x14ac:dyDescent="0.25">
      <c r="J448" s="93" t="s">
        <v>161</v>
      </c>
      <c r="K448" s="65"/>
      <c r="AG448" s="53">
        <f t="shared" ref="AG448:AM448" si="128">SUMIF($J$11:$J$387,"=Fruit Oranges/kg",AG$11:AG$387)</f>
        <v>0</v>
      </c>
      <c r="AH448" s="53">
        <f t="shared" si="128"/>
        <v>0</v>
      </c>
      <c r="AI448" s="53">
        <f t="shared" si="128"/>
        <v>0</v>
      </c>
      <c r="AJ448" s="53">
        <f t="shared" si="128"/>
        <v>0</v>
      </c>
      <c r="AK448" s="53">
        <f t="shared" si="128"/>
        <v>0</v>
      </c>
      <c r="AL448" s="53">
        <f t="shared" si="128"/>
        <v>0</v>
      </c>
      <c r="AM448" s="53">
        <f t="shared" si="128"/>
        <v>0</v>
      </c>
    </row>
    <row r="449" spans="10:39" hidden="1" x14ac:dyDescent="0.25">
      <c r="J449" s="93" t="s">
        <v>96</v>
      </c>
      <c r="K449" s="65"/>
      <c r="AG449" s="53">
        <f t="shared" ref="AG449:AM449" si="129">SUMIF($J$11:$J$387,"=Honey, jams, syrups including jellies (jam type), grape syrup and treacle",AG$11:AG$387)</f>
        <v>68.420639999999992</v>
      </c>
      <c r="AH449" s="53">
        <f t="shared" si="129"/>
        <v>0</v>
      </c>
      <c r="AI449" s="53">
        <f t="shared" si="129"/>
        <v>138.42929999999998</v>
      </c>
      <c r="AJ449" s="53">
        <f t="shared" si="129"/>
        <v>0</v>
      </c>
      <c r="AK449" s="53">
        <f t="shared" si="129"/>
        <v>770406</v>
      </c>
      <c r="AL449" s="53">
        <f t="shared" si="129"/>
        <v>50388.265199999994</v>
      </c>
      <c r="AM449" s="53">
        <f t="shared" si="129"/>
        <v>0</v>
      </c>
    </row>
    <row r="450" spans="10:39" hidden="1" x14ac:dyDescent="0.25">
      <c r="J450" s="93"/>
      <c r="K450" s="64"/>
      <c r="AG450" s="53"/>
      <c r="AH450" s="53"/>
      <c r="AI450" s="53"/>
      <c r="AJ450" s="53"/>
      <c r="AK450" s="53"/>
      <c r="AL450" s="53"/>
      <c r="AM450" s="53"/>
    </row>
    <row r="451" spans="10:39" hidden="1" x14ac:dyDescent="0.25">
      <c r="J451" s="93" t="s">
        <v>136</v>
      </c>
      <c r="K451" s="65"/>
      <c r="AG451" s="53">
        <f t="shared" ref="AG451:AM451" si="130">SUMIF($J$11:$J$387,"=Item not in list",AG$11:AG$387)</f>
        <v>1156.25</v>
      </c>
      <c r="AH451" s="53">
        <f t="shared" si="130"/>
        <v>0</v>
      </c>
      <c r="AI451" s="53">
        <f t="shared" si="130"/>
        <v>1156.25</v>
      </c>
      <c r="AJ451" s="53">
        <f t="shared" si="130"/>
        <v>0</v>
      </c>
      <c r="AK451" s="53">
        <f t="shared" si="130"/>
        <v>1443000</v>
      </c>
      <c r="AL451" s="53">
        <f t="shared" si="130"/>
        <v>60125</v>
      </c>
      <c r="AM451" s="53">
        <f t="shared" si="130"/>
        <v>0</v>
      </c>
    </row>
    <row r="452" spans="10:39" hidden="1" x14ac:dyDescent="0.25">
      <c r="J452" s="93" t="s">
        <v>98</v>
      </c>
      <c r="K452" s="64"/>
      <c r="AG452" s="53">
        <f t="shared" ref="AG452:AM452" si="131">SUMIF($J$11:$J$387,"=Knitting, crocheting and similar yarns",AG$11:AG$387)</f>
        <v>0</v>
      </c>
      <c r="AH452" s="53">
        <f t="shared" si="131"/>
        <v>0</v>
      </c>
      <c r="AI452" s="53">
        <f t="shared" si="131"/>
        <v>0</v>
      </c>
      <c r="AJ452" s="53">
        <f t="shared" si="131"/>
        <v>0</v>
      </c>
      <c r="AK452" s="53">
        <f t="shared" si="131"/>
        <v>0</v>
      </c>
      <c r="AL452" s="53">
        <f t="shared" si="131"/>
        <v>0</v>
      </c>
      <c r="AM452" s="53">
        <f t="shared" si="131"/>
        <v>0</v>
      </c>
    </row>
    <row r="453" spans="10:39" hidden="1" x14ac:dyDescent="0.25">
      <c r="J453" s="93" t="s">
        <v>99</v>
      </c>
      <c r="K453" s="65"/>
      <c r="AG453" s="53">
        <f t="shared" ref="AG453:AM453" si="132">SUMIF($J$11:$J$387,"=Liquid dairy products,  including cream, drinking  yoghurt, flavoured milk and  refrigerated desserts but  excluding milk (fresh or sour),  long life milk, condensed milk  and fruit juice",AG$11:AG$387)</f>
        <v>0</v>
      </c>
      <c r="AH453" s="53">
        <f t="shared" si="132"/>
        <v>0</v>
      </c>
      <c r="AI453" s="53">
        <f t="shared" si="132"/>
        <v>0</v>
      </c>
      <c r="AJ453" s="53">
        <f t="shared" si="132"/>
        <v>0</v>
      </c>
      <c r="AK453" s="53">
        <f t="shared" si="132"/>
        <v>0</v>
      </c>
      <c r="AL453" s="53">
        <f t="shared" si="132"/>
        <v>0</v>
      </c>
      <c r="AM453" s="53">
        <f t="shared" si="132"/>
        <v>0</v>
      </c>
    </row>
    <row r="454" spans="10:39" hidden="1" x14ac:dyDescent="0.25">
      <c r="J454" s="93" t="s">
        <v>52</v>
      </c>
      <c r="K454" s="65"/>
      <c r="AG454" s="53">
        <f t="shared" ref="AG454:AM454" si="133">SUMIF($J$11:$J$387,"=Liquid Petroleum Gas (LPG)",AG$11:AG$387)</f>
        <v>0</v>
      </c>
      <c r="AH454" s="53">
        <f t="shared" si="133"/>
        <v>0</v>
      </c>
      <c r="AI454" s="53">
        <f t="shared" si="133"/>
        <v>0</v>
      </c>
      <c r="AJ454" s="53">
        <f t="shared" si="133"/>
        <v>0</v>
      </c>
      <c r="AK454" s="53">
        <f t="shared" si="133"/>
        <v>0</v>
      </c>
      <c r="AL454" s="53">
        <f t="shared" si="133"/>
        <v>0</v>
      </c>
      <c r="AM454" s="53">
        <f t="shared" si="133"/>
        <v>0</v>
      </c>
    </row>
    <row r="455" spans="10:39" hidden="1" x14ac:dyDescent="0.25">
      <c r="J455" s="93" t="s">
        <v>100</v>
      </c>
      <c r="K455" s="64"/>
      <c r="AG455" s="53">
        <f t="shared" ref="AG455:AM455" si="134">SUMIF($J$11:$J$387,"=Macaroni, spaghetti, vermicelli and egg noodles",AG$11:AG$387)</f>
        <v>0</v>
      </c>
      <c r="AH455" s="53">
        <f t="shared" si="134"/>
        <v>0</v>
      </c>
      <c r="AI455" s="53">
        <f t="shared" si="134"/>
        <v>0</v>
      </c>
      <c r="AJ455" s="53">
        <f t="shared" si="134"/>
        <v>0</v>
      </c>
      <c r="AK455" s="53">
        <f t="shared" si="134"/>
        <v>0</v>
      </c>
      <c r="AL455" s="53">
        <f t="shared" si="134"/>
        <v>0</v>
      </c>
      <c r="AM455" s="53">
        <f t="shared" si="134"/>
        <v>0</v>
      </c>
    </row>
    <row r="456" spans="10:39" hidden="1" x14ac:dyDescent="0.25">
      <c r="J456" s="93" t="s">
        <v>101</v>
      </c>
      <c r="K456" s="64"/>
      <c r="AG456" s="53">
        <f t="shared" ref="AG456:AM456" si="135">SUMIF($J$11:$J$387,"=Maize in the following forms: whole, meal, flour, crushed, samp, maize rice and grits",AG$11:AG$387)</f>
        <v>0</v>
      </c>
      <c r="AH456" s="53">
        <f t="shared" si="135"/>
        <v>0</v>
      </c>
      <c r="AI456" s="53">
        <f t="shared" si="135"/>
        <v>0</v>
      </c>
      <c r="AJ456" s="53">
        <f t="shared" si="135"/>
        <v>0</v>
      </c>
      <c r="AK456" s="53">
        <f t="shared" si="135"/>
        <v>0</v>
      </c>
      <c r="AL456" s="53">
        <f t="shared" si="135"/>
        <v>0</v>
      </c>
      <c r="AM456" s="53">
        <f t="shared" si="135"/>
        <v>0</v>
      </c>
    </row>
    <row r="457" spans="10:39" hidden="1" x14ac:dyDescent="0.25">
      <c r="J457" s="92" t="s">
        <v>162</v>
      </c>
      <c r="K457" s="63"/>
      <c r="AG457" s="53">
        <f t="shared" ref="AG457:AM457" si="136">SUMIF($J$11:$J$387,"=Maize Meal 2.5kg and 12.5 kg ",AG$11:AG$387)</f>
        <v>492.21350395776238</v>
      </c>
      <c r="AH457" s="53">
        <f t="shared" si="136"/>
        <v>-16.179840000000056</v>
      </c>
      <c r="AI457" s="53">
        <f t="shared" si="136"/>
        <v>630.55044061441197</v>
      </c>
      <c r="AJ457" s="53">
        <f t="shared" si="136"/>
        <v>-86.955840000000336</v>
      </c>
      <c r="AK457" s="53">
        <f t="shared" si="136"/>
        <v>89841024</v>
      </c>
      <c r="AL457" s="53">
        <f t="shared" si="136"/>
        <v>196731.73747169648</v>
      </c>
      <c r="AM457" s="53">
        <f t="shared" si="136"/>
        <v>21461.207040000052</v>
      </c>
    </row>
    <row r="458" spans="10:39" hidden="1" x14ac:dyDescent="0.25">
      <c r="J458" s="92" t="s">
        <v>193</v>
      </c>
      <c r="K458" s="65"/>
      <c r="AG458" s="53">
        <f t="shared" ref="AG458:AM458" si="137">SUMIF($J$11:$J$387,"=Maize Meal other",AG$11:AG$387)</f>
        <v>7812.1121650000487</v>
      </c>
      <c r="AH458" s="53">
        <f t="shared" si="137"/>
        <v>-35.00625599999961</v>
      </c>
      <c r="AI458" s="53">
        <f t="shared" si="137"/>
        <v>2664.9349855771961</v>
      </c>
      <c r="AJ458" s="53">
        <f t="shared" si="137"/>
        <v>-59.118399999999426</v>
      </c>
      <c r="AK458" s="53">
        <f t="shared" si="137"/>
        <v>191507212</v>
      </c>
      <c r="AL458" s="53">
        <f t="shared" si="137"/>
        <v>954933.94950008497</v>
      </c>
      <c r="AM458" s="53">
        <f t="shared" si="137"/>
        <v>11854.190399999909</v>
      </c>
    </row>
    <row r="459" spans="10:39" hidden="1" x14ac:dyDescent="0.25">
      <c r="J459" s="92" t="s">
        <v>194</v>
      </c>
      <c r="K459" s="63"/>
      <c r="AG459" s="53">
        <f t="shared" ref="AG459:AM459" si="138">SUMIF($J$11:$J$387,"=Maize Samp Other",AG$11:AG$387)</f>
        <v>0</v>
      </c>
      <c r="AH459" s="53">
        <f t="shared" si="138"/>
        <v>0</v>
      </c>
      <c r="AI459" s="53">
        <f t="shared" si="138"/>
        <v>0</v>
      </c>
      <c r="AJ459" s="53">
        <f t="shared" si="138"/>
        <v>0</v>
      </c>
      <c r="AK459" s="53">
        <f t="shared" si="138"/>
        <v>0</v>
      </c>
      <c r="AL459" s="53">
        <f t="shared" si="138"/>
        <v>0</v>
      </c>
      <c r="AM459" s="53">
        <f t="shared" si="138"/>
        <v>0</v>
      </c>
    </row>
    <row r="460" spans="10:39" hidden="1" x14ac:dyDescent="0.25">
      <c r="J460" s="92" t="s">
        <v>163</v>
      </c>
      <c r="K460" s="64"/>
      <c r="AG460" s="53">
        <f t="shared" ref="AG460:AM460" si="139">SUMIF($J$11:$J$387,"=Maize Samp 1kg ",AG$11:AG$387)</f>
        <v>0</v>
      </c>
      <c r="AH460" s="53">
        <f t="shared" si="139"/>
        <v>0</v>
      </c>
      <c r="AI460" s="53">
        <f t="shared" si="139"/>
        <v>0</v>
      </c>
      <c r="AJ460" s="53">
        <f t="shared" si="139"/>
        <v>0</v>
      </c>
      <c r="AK460" s="53">
        <f t="shared" si="139"/>
        <v>0</v>
      </c>
      <c r="AL460" s="53">
        <f t="shared" si="139"/>
        <v>0</v>
      </c>
      <c r="AM460" s="53">
        <f t="shared" si="139"/>
        <v>0</v>
      </c>
    </row>
    <row r="461" spans="10:39" hidden="1" x14ac:dyDescent="0.25">
      <c r="J461" s="92" t="s">
        <v>164</v>
      </c>
      <c r="K461" s="64"/>
      <c r="AG461" s="53">
        <f t="shared" ref="AG461:AM461" si="140">SUMIF($J$11:$J$387,"=Margarine 250g",AG$11:AG$387)</f>
        <v>0</v>
      </c>
      <c r="AH461" s="53">
        <f t="shared" si="140"/>
        <v>0</v>
      </c>
      <c r="AI461" s="53">
        <f t="shared" si="140"/>
        <v>0</v>
      </c>
      <c r="AJ461" s="53">
        <f t="shared" si="140"/>
        <v>0</v>
      </c>
      <c r="AK461" s="53">
        <f t="shared" si="140"/>
        <v>0</v>
      </c>
      <c r="AL461" s="53">
        <f t="shared" si="140"/>
        <v>0</v>
      </c>
      <c r="AM461" s="53">
        <f t="shared" si="140"/>
        <v>0</v>
      </c>
    </row>
    <row r="462" spans="10:39" hidden="1" x14ac:dyDescent="0.25">
      <c r="J462" s="93" t="s">
        <v>165</v>
      </c>
      <c r="K462" s="64"/>
      <c r="AG462" s="53">
        <f t="shared" ref="AG462:AM462" si="141">SUMIF($J$11:$J$387,"=Margarine and other vegetable fats",AG$11:AG$387)</f>
        <v>0</v>
      </c>
      <c r="AH462" s="53">
        <f t="shared" si="141"/>
        <v>0</v>
      </c>
      <c r="AI462" s="53">
        <f t="shared" si="141"/>
        <v>0</v>
      </c>
      <c r="AJ462" s="53">
        <f t="shared" si="141"/>
        <v>0</v>
      </c>
      <c r="AK462" s="53">
        <f t="shared" si="141"/>
        <v>0</v>
      </c>
      <c r="AL462" s="53">
        <f t="shared" si="141"/>
        <v>0</v>
      </c>
      <c r="AM462" s="53">
        <f t="shared" si="141"/>
        <v>0</v>
      </c>
    </row>
    <row r="463" spans="10:39" hidden="1" x14ac:dyDescent="0.25">
      <c r="J463" s="92" t="s">
        <v>166</v>
      </c>
      <c r="K463" s="65"/>
      <c r="AG463" s="53">
        <f t="shared" ref="AG463:AM463" si="142">SUMIF($J$11:$J$387,"=Meat Beef",AG$11:AG$387)</f>
        <v>20.947063858827949</v>
      </c>
      <c r="AH463" s="53">
        <f t="shared" si="142"/>
        <v>-55.777661957839051</v>
      </c>
      <c r="AI463" s="53">
        <f t="shared" si="142"/>
        <v>24.106377966185839</v>
      </c>
      <c r="AJ463" s="53">
        <f t="shared" si="142"/>
        <v>-173.22152078667261</v>
      </c>
      <c r="AK463" s="53">
        <f t="shared" si="142"/>
        <v>10905477.288348572</v>
      </c>
      <c r="AL463" s="53">
        <f t="shared" si="142"/>
        <v>8478.5655796916471</v>
      </c>
      <c r="AM463" s="53">
        <f t="shared" si="142"/>
        <v>61033.052613967884</v>
      </c>
    </row>
    <row r="464" spans="10:39" hidden="1" x14ac:dyDescent="0.25">
      <c r="J464" s="93" t="s">
        <v>167</v>
      </c>
      <c r="K464" s="66"/>
      <c r="AG464" s="53">
        <f t="shared" ref="AG464:AM464" si="143">SUMIF($J$11:$J$387,"=Meat Dried, salted or smoked meat",AG$11:AG$387)</f>
        <v>0</v>
      </c>
      <c r="AH464" s="53">
        <f t="shared" si="143"/>
        <v>0</v>
      </c>
      <c r="AI464" s="53">
        <f t="shared" si="143"/>
        <v>0</v>
      </c>
      <c r="AJ464" s="53">
        <f t="shared" si="143"/>
        <v>0</v>
      </c>
      <c r="AK464" s="53">
        <f t="shared" si="143"/>
        <v>0</v>
      </c>
      <c r="AL464" s="53">
        <f t="shared" si="143"/>
        <v>0</v>
      </c>
      <c r="AM464" s="53">
        <f t="shared" si="143"/>
        <v>0</v>
      </c>
    </row>
    <row r="465" spans="10:39" hidden="1" x14ac:dyDescent="0.25">
      <c r="J465" s="93" t="s">
        <v>102</v>
      </c>
      <c r="K465" s="64"/>
      <c r="AG465" s="53">
        <f t="shared" ref="AG465:AM465" si="144">SUMIF($J$11:$J$387,"=Meat including when processed or enhanced in any manner",AG$11:AG$387)</f>
        <v>18.964345395224846</v>
      </c>
      <c r="AH465" s="53">
        <f t="shared" si="144"/>
        <v>-3.6426000000000003</v>
      </c>
      <c r="AI465" s="53">
        <f t="shared" si="144"/>
        <v>50.523816722552176</v>
      </c>
      <c r="AJ465" s="53">
        <f t="shared" si="144"/>
        <v>-9.8614571428571409</v>
      </c>
      <c r="AK465" s="53">
        <f t="shared" si="144"/>
        <v>12457042.359335341</v>
      </c>
      <c r="AL465" s="53">
        <f t="shared" si="144"/>
        <v>15898.943690071146</v>
      </c>
      <c r="AM465" s="53">
        <f t="shared" si="144"/>
        <v>2685.3646857142853</v>
      </c>
    </row>
    <row r="466" spans="10:39" hidden="1" x14ac:dyDescent="0.25">
      <c r="J466" s="92" t="s">
        <v>168</v>
      </c>
      <c r="K466" s="64"/>
      <c r="AG466" s="53">
        <f t="shared" ref="AG466:AM466" si="145">SUMIF($J$11:$J$387,"=Meat Lamb",AG$11:AG$387)</f>
        <v>33.668133904386806</v>
      </c>
      <c r="AH466" s="53">
        <f t="shared" si="145"/>
        <v>-46.151838812301158</v>
      </c>
      <c r="AI466" s="53">
        <f t="shared" si="145"/>
        <v>113.17138424473123</v>
      </c>
      <c r="AJ466" s="53">
        <f t="shared" si="145"/>
        <v>-97.01044807507796</v>
      </c>
      <c r="AK466" s="53">
        <f t="shared" si="145"/>
        <v>4581814.9644748056</v>
      </c>
      <c r="AL466" s="53">
        <f t="shared" si="145"/>
        <v>40800.428488458791</v>
      </c>
      <c r="AM466" s="53">
        <f t="shared" si="145"/>
        <v>34954.292242185526</v>
      </c>
    </row>
    <row r="467" spans="10:39" hidden="1" x14ac:dyDescent="0.25">
      <c r="J467" s="93" t="s">
        <v>169</v>
      </c>
      <c r="K467" s="64"/>
      <c r="AG467" s="53">
        <f t="shared" ref="AG467:AM467" si="146">SUMIF($J$11:$J$387,"=Meat Other preserved or processed meat",AG$11:AG$387)</f>
        <v>11.30805</v>
      </c>
      <c r="AH467" s="53">
        <f t="shared" si="146"/>
        <v>-30.558979492026509</v>
      </c>
      <c r="AI467" s="53">
        <f t="shared" si="146"/>
        <v>11.30805</v>
      </c>
      <c r="AJ467" s="53">
        <f t="shared" si="146"/>
        <v>-44.797220188014897</v>
      </c>
      <c r="AK467" s="53">
        <f t="shared" si="146"/>
        <v>939467.1031200001</v>
      </c>
      <c r="AL467" s="53">
        <f t="shared" si="146"/>
        <v>4116.1302000000005</v>
      </c>
      <c r="AM467" s="53">
        <f t="shared" si="146"/>
        <v>16306.188148437424</v>
      </c>
    </row>
    <row r="468" spans="10:39" hidden="1" x14ac:dyDescent="0.25">
      <c r="J468" s="92" t="s">
        <v>170</v>
      </c>
      <c r="K468" s="63"/>
      <c r="AG468" s="53">
        <f t="shared" ref="AG468:AM468" si="147">SUMIF($J$11:$J$387,"=Meat Pork",AG$11:AG$387)</f>
        <v>0.51190067956089913</v>
      </c>
      <c r="AH468" s="53">
        <f t="shared" si="147"/>
        <v>-67.115259415192412</v>
      </c>
      <c r="AI468" s="53">
        <f t="shared" si="147"/>
        <v>0.81745608991113428</v>
      </c>
      <c r="AJ468" s="53">
        <f t="shared" si="147"/>
        <v>-113.76987883484448</v>
      </c>
      <c r="AK468" s="53">
        <f t="shared" si="147"/>
        <v>2465470.0408000001</v>
      </c>
      <c r="AL468" s="53">
        <f t="shared" si="147"/>
        <v>245.6060167276529</v>
      </c>
      <c r="AM468" s="53">
        <f t="shared" si="147"/>
        <v>41412.235895883394</v>
      </c>
    </row>
    <row r="469" spans="10:39" hidden="1" x14ac:dyDescent="0.25">
      <c r="J469" s="92" t="s">
        <v>171</v>
      </c>
      <c r="K469" s="64"/>
      <c r="AG469" s="53">
        <f t="shared" ref="AG469:AM469" si="148">SUMIF($J$11:$J$387,"=Meat Stewing Beef/kg ",AG$11:AG$387)</f>
        <v>0</v>
      </c>
      <c r="AH469" s="53">
        <f t="shared" si="148"/>
        <v>0</v>
      </c>
      <c r="AI469" s="53">
        <f t="shared" si="148"/>
        <v>0</v>
      </c>
      <c r="AJ469" s="53">
        <f t="shared" si="148"/>
        <v>0</v>
      </c>
      <c r="AK469" s="53">
        <f t="shared" si="148"/>
        <v>0</v>
      </c>
      <c r="AL469" s="53">
        <f t="shared" si="148"/>
        <v>0</v>
      </c>
      <c r="AM469" s="53">
        <f t="shared" si="148"/>
        <v>0</v>
      </c>
    </row>
    <row r="470" spans="10:39" hidden="1" x14ac:dyDescent="0.25">
      <c r="J470" s="93" t="s">
        <v>103</v>
      </c>
      <c r="K470" s="64"/>
      <c r="AG470" s="53">
        <f t="shared" ref="AG470:AM470" si="149">SUMIF($J$11:$J$387,"=Milk 1) Fresh or sour milk including  long life milk but excluding   flavoured milk and cream",AG$11:AG$387)</f>
        <v>0</v>
      </c>
      <c r="AH470" s="53">
        <f t="shared" si="149"/>
        <v>0</v>
      </c>
      <c r="AI470" s="53">
        <f t="shared" si="149"/>
        <v>0</v>
      </c>
      <c r="AJ470" s="53">
        <f t="shared" si="149"/>
        <v>0</v>
      </c>
      <c r="AK470" s="53">
        <f t="shared" si="149"/>
        <v>0</v>
      </c>
      <c r="AL470" s="53">
        <f t="shared" si="149"/>
        <v>0</v>
      </c>
      <c r="AM470" s="53">
        <f t="shared" si="149"/>
        <v>0</v>
      </c>
    </row>
    <row r="471" spans="10:39" ht="19.5" hidden="1" x14ac:dyDescent="0.25">
      <c r="J471" s="92" t="s">
        <v>172</v>
      </c>
      <c r="K471" s="68"/>
      <c r="AG471" s="53">
        <f t="shared" ref="AG471:AM471" si="150">SUMIF($J$11:$J$387,"=Milk 1litre ",AG$11:AG$387)</f>
        <v>0</v>
      </c>
      <c r="AH471" s="53">
        <f t="shared" si="150"/>
        <v>0</v>
      </c>
      <c r="AI471" s="53">
        <f t="shared" si="150"/>
        <v>0</v>
      </c>
      <c r="AJ471" s="53">
        <f t="shared" si="150"/>
        <v>0</v>
      </c>
      <c r="AK471" s="53">
        <f t="shared" si="150"/>
        <v>0</v>
      </c>
      <c r="AL471" s="53">
        <f t="shared" si="150"/>
        <v>0</v>
      </c>
      <c r="AM471" s="53">
        <f t="shared" si="150"/>
        <v>0</v>
      </c>
    </row>
    <row r="472" spans="10:39" hidden="1" x14ac:dyDescent="0.25">
      <c r="J472" s="94" t="s">
        <v>105</v>
      </c>
      <c r="K472" s="69"/>
      <c r="AG472" s="53">
        <f t="shared" ref="AG472:AM472" si="151">SUMIF($J$11:$J$387,"=Milk 3) Condensed milk",AG$11:AG$387)</f>
        <v>0</v>
      </c>
      <c r="AH472" s="53">
        <f t="shared" si="151"/>
        <v>0</v>
      </c>
      <c r="AI472" s="53">
        <f t="shared" si="151"/>
        <v>0</v>
      </c>
      <c r="AJ472" s="53">
        <f t="shared" si="151"/>
        <v>0</v>
      </c>
      <c r="AK472" s="53">
        <f t="shared" si="151"/>
        <v>0</v>
      </c>
      <c r="AL472" s="53">
        <f t="shared" si="151"/>
        <v>0</v>
      </c>
      <c r="AM472" s="53">
        <f t="shared" si="151"/>
        <v>0</v>
      </c>
    </row>
    <row r="473" spans="10:39" hidden="1" x14ac:dyDescent="0.25">
      <c r="J473" s="95" t="s">
        <v>173</v>
      </c>
      <c r="K473" s="69"/>
      <c r="AG473" s="53">
        <f t="shared" ref="AG473:AM473" si="152">SUMIF($J$11:$J$387,"=milk Low fat ",AG$11:AG$387)</f>
        <v>130</v>
      </c>
      <c r="AH473" s="53">
        <f t="shared" si="152"/>
        <v>-96.130799999999823</v>
      </c>
      <c r="AI473" s="53">
        <f t="shared" si="152"/>
        <v>145.6</v>
      </c>
      <c r="AJ473" s="53">
        <f t="shared" si="152"/>
        <v>-574.69499999999891</v>
      </c>
      <c r="AK473" s="53">
        <f t="shared" si="152"/>
        <v>16796000</v>
      </c>
      <c r="AL473" s="53">
        <f t="shared" si="152"/>
        <v>52998.399999999994</v>
      </c>
      <c r="AM473" s="53">
        <f t="shared" si="152"/>
        <v>179304.83999999968</v>
      </c>
    </row>
    <row r="474" spans="10:39" hidden="1" x14ac:dyDescent="0.25">
      <c r="J474" s="94" t="s">
        <v>174</v>
      </c>
      <c r="K474" s="69"/>
      <c r="AG474" s="53">
        <f t="shared" ref="AG474:AM474" si="153">SUMIF($J$11:$J$387,"=milk Other products",AG$11:AG$387)</f>
        <v>0</v>
      </c>
      <c r="AH474" s="53">
        <f t="shared" si="153"/>
        <v>0</v>
      </c>
      <c r="AI474" s="53">
        <f t="shared" si="153"/>
        <v>0</v>
      </c>
      <c r="AJ474" s="53">
        <f t="shared" si="153"/>
        <v>0</v>
      </c>
      <c r="AK474" s="53">
        <f t="shared" si="153"/>
        <v>0</v>
      </c>
      <c r="AL474" s="53">
        <f t="shared" si="153"/>
        <v>0</v>
      </c>
      <c r="AM474" s="53">
        <f t="shared" si="153"/>
        <v>0</v>
      </c>
    </row>
    <row r="475" spans="10:39" hidden="1" x14ac:dyDescent="0.25">
      <c r="J475" s="94" t="s">
        <v>104</v>
      </c>
      <c r="K475" s="69"/>
      <c r="AG475" s="53">
        <f t="shared" ref="AG475:AM475" si="154">SUMIF($J$11:$J$387,"=milk Powder",AG$11:AG$387)</f>
        <v>0</v>
      </c>
      <c r="AH475" s="53">
        <f t="shared" si="154"/>
        <v>0</v>
      </c>
      <c r="AI475" s="53">
        <f t="shared" si="154"/>
        <v>0</v>
      </c>
      <c r="AJ475" s="53">
        <f t="shared" si="154"/>
        <v>0</v>
      </c>
      <c r="AK475" s="53">
        <f t="shared" si="154"/>
        <v>0</v>
      </c>
      <c r="AL475" s="53">
        <f t="shared" si="154"/>
        <v>0</v>
      </c>
      <c r="AM475" s="53">
        <f t="shared" si="154"/>
        <v>0</v>
      </c>
    </row>
    <row r="476" spans="10:39" hidden="1" x14ac:dyDescent="0.25">
      <c r="J476" s="94" t="s">
        <v>175</v>
      </c>
      <c r="K476" s="69"/>
      <c r="AG476" s="53">
        <f t="shared" ref="AG476:AM476" si="155">SUMIF($J$11:$J$387,"=milk Preserved ",AG$11:AG$387)</f>
        <v>0</v>
      </c>
      <c r="AH476" s="53">
        <f t="shared" si="155"/>
        <v>0</v>
      </c>
      <c r="AI476" s="53">
        <f t="shared" si="155"/>
        <v>0</v>
      </c>
      <c r="AJ476" s="53">
        <f t="shared" si="155"/>
        <v>0</v>
      </c>
      <c r="AK476" s="53">
        <f t="shared" si="155"/>
        <v>0</v>
      </c>
      <c r="AL476" s="53">
        <f t="shared" si="155"/>
        <v>0</v>
      </c>
      <c r="AM476" s="53">
        <f t="shared" si="155"/>
        <v>0</v>
      </c>
    </row>
    <row r="477" spans="10:39" hidden="1" x14ac:dyDescent="0.25">
      <c r="J477" s="95" t="s">
        <v>199</v>
      </c>
      <c r="K477" s="69"/>
      <c r="AG477" s="53">
        <f t="shared" ref="AG477:AM477" si="156">SUMIF($J$11:$J$387,"=Milk Whole ",AG$11:AG$387)</f>
        <v>0</v>
      </c>
      <c r="AH477" s="53">
        <f t="shared" si="156"/>
        <v>0</v>
      </c>
      <c r="AI477" s="53">
        <f t="shared" si="156"/>
        <v>0</v>
      </c>
      <c r="AJ477" s="53">
        <f t="shared" si="156"/>
        <v>0</v>
      </c>
      <c r="AK477" s="53">
        <f t="shared" si="156"/>
        <v>0</v>
      </c>
      <c r="AL477" s="53">
        <f t="shared" si="156"/>
        <v>0</v>
      </c>
      <c r="AM477" s="53">
        <f t="shared" si="156"/>
        <v>0</v>
      </c>
    </row>
    <row r="478" spans="10:39" hidden="1" x14ac:dyDescent="0.25">
      <c r="J478" s="94" t="s">
        <v>106</v>
      </c>
      <c r="K478" s="69"/>
      <c r="AG478" s="53">
        <f t="shared" ref="AG478:AM478" si="157">SUMIF($J$11:$J$387,"=Mushrooms",AG$11:AG$387)</f>
        <v>0</v>
      </c>
      <c r="AH478" s="53">
        <f t="shared" si="157"/>
        <v>0</v>
      </c>
      <c r="AI478" s="53">
        <f t="shared" si="157"/>
        <v>0</v>
      </c>
      <c r="AJ478" s="53">
        <f t="shared" si="157"/>
        <v>0</v>
      </c>
      <c r="AK478" s="53">
        <f t="shared" si="157"/>
        <v>0</v>
      </c>
      <c r="AL478" s="53">
        <f t="shared" si="157"/>
        <v>0</v>
      </c>
      <c r="AM478" s="53">
        <f t="shared" si="157"/>
        <v>0</v>
      </c>
    </row>
    <row r="479" spans="10:39" hidden="1" x14ac:dyDescent="0.25">
      <c r="J479" s="94" t="s">
        <v>177</v>
      </c>
      <c r="K479" s="69"/>
      <c r="AG479" s="53">
        <f t="shared" ref="AG479:AM479" si="158">SUMIF($J$11:$J$387,"=NOT LISTED",AG$11:AG$387)</f>
        <v>0</v>
      </c>
      <c r="AH479" s="53">
        <f t="shared" si="158"/>
        <v>0</v>
      </c>
      <c r="AI479" s="53">
        <f t="shared" si="158"/>
        <v>0</v>
      </c>
      <c r="AJ479" s="53">
        <f t="shared" si="158"/>
        <v>0</v>
      </c>
      <c r="AK479" s="53">
        <f t="shared" si="158"/>
        <v>0</v>
      </c>
      <c r="AL479" s="53">
        <f t="shared" si="158"/>
        <v>0</v>
      </c>
      <c r="AM479" s="53">
        <f t="shared" si="158"/>
        <v>0</v>
      </c>
    </row>
    <row r="480" spans="10:39" hidden="1" x14ac:dyDescent="0.25">
      <c r="J480" s="94" t="s">
        <v>196</v>
      </c>
      <c r="K480" s="69"/>
      <c r="AG480" s="53">
        <f t="shared" ref="AG480:AM480" si="159">SUMIF($J$11:$J$387,"=Bread Other and cereal product ",AG$11:AG$387)</f>
        <v>8.8319999999999705</v>
      </c>
      <c r="AH480" s="53">
        <f t="shared" si="159"/>
        <v>-24.96</v>
      </c>
      <c r="AI480" s="53">
        <f t="shared" si="159"/>
        <v>22.079999999999927</v>
      </c>
      <c r="AJ480" s="53">
        <f t="shared" si="159"/>
        <v>-32</v>
      </c>
      <c r="AK480" s="53">
        <f t="shared" si="159"/>
        <v>2496000</v>
      </c>
      <c r="AL480" s="53">
        <f t="shared" si="159"/>
        <v>5740.7999999999811</v>
      </c>
      <c r="AM480" s="53">
        <f t="shared" si="159"/>
        <v>8320</v>
      </c>
    </row>
    <row r="481" spans="10:39" hidden="1" x14ac:dyDescent="0.25">
      <c r="J481" s="94" t="s">
        <v>107</v>
      </c>
      <c r="K481" s="69"/>
      <c r="AG481" s="53">
        <f t="shared" ref="AG481:AM481" si="160">SUMIF($J$11:$J$387,"=Paint",AG$11:AG$387)</f>
        <v>0</v>
      </c>
      <c r="AH481" s="53">
        <f t="shared" si="160"/>
        <v>0</v>
      </c>
      <c r="AI481" s="53">
        <f t="shared" si="160"/>
        <v>0</v>
      </c>
      <c r="AJ481" s="53">
        <f t="shared" si="160"/>
        <v>0</v>
      </c>
      <c r="AK481" s="53">
        <f t="shared" si="160"/>
        <v>0</v>
      </c>
      <c r="AL481" s="53">
        <f t="shared" si="160"/>
        <v>0</v>
      </c>
      <c r="AM481" s="53">
        <f t="shared" si="160"/>
        <v>0</v>
      </c>
    </row>
    <row r="482" spans="10:39" hidden="1" x14ac:dyDescent="0.25">
      <c r="J482" s="94" t="s">
        <v>108</v>
      </c>
      <c r="K482" s="69"/>
      <c r="AG482" s="53">
        <f t="shared" ref="AG482:AM482" si="161">SUMIF($J$11:$J$387,"=Paper products a) Tissue paper which is sold as  or under the name of toilet  paper or which has the  appearance of toilet tissue  paper when wound in the form  of a roll with a width not  exceeding 140 mm",AG$11:AG$387)</f>
        <v>0</v>
      </c>
      <c r="AH482" s="53">
        <f t="shared" si="161"/>
        <v>0</v>
      </c>
      <c r="AI482" s="53">
        <f t="shared" si="161"/>
        <v>0</v>
      </c>
      <c r="AJ482" s="53">
        <f t="shared" si="161"/>
        <v>0</v>
      </c>
      <c r="AK482" s="53">
        <f t="shared" si="161"/>
        <v>0</v>
      </c>
      <c r="AL482" s="53">
        <f t="shared" si="161"/>
        <v>0</v>
      </c>
      <c r="AM482" s="53">
        <f t="shared" si="161"/>
        <v>0</v>
      </c>
    </row>
    <row r="483" spans="10:39" hidden="1" x14ac:dyDescent="0.25">
      <c r="J483" s="94" t="s">
        <v>109</v>
      </c>
      <c r="K483" s="69"/>
      <c r="AG483" s="53">
        <f t="shared" ref="AG483:AM483" si="162">SUMIF($J$11:$J$387,"=Paper products b) Sheets of paper being facial  tissues, serviettes or towels  whether separate or joined in  the form of perforated packs or  rolls.",AG$11:AG$387)</f>
        <v>0</v>
      </c>
      <c r="AH483" s="53">
        <f t="shared" si="162"/>
        <v>0</v>
      </c>
      <c r="AI483" s="53">
        <f t="shared" si="162"/>
        <v>0</v>
      </c>
      <c r="AJ483" s="53">
        <f t="shared" si="162"/>
        <v>0</v>
      </c>
      <c r="AK483" s="53">
        <f t="shared" si="162"/>
        <v>0</v>
      </c>
      <c r="AL483" s="53">
        <f t="shared" si="162"/>
        <v>0</v>
      </c>
      <c r="AM483" s="53">
        <f t="shared" si="162"/>
        <v>0</v>
      </c>
    </row>
    <row r="484" spans="10:39" hidden="1" x14ac:dyDescent="0.25">
      <c r="J484" s="94" t="s">
        <v>110</v>
      </c>
      <c r="K484" s="69"/>
      <c r="AG484" s="53">
        <f t="shared" ref="AG484:AM484" si="163">SUMIF($J$11:$J$387,"=Paper Products c) Paper being wrapping,  drawing, reproduction and  paper used for a similar  purposes including facsimile  paper i) Sheets",AG$11:AG$387)</f>
        <v>0</v>
      </c>
      <c r="AH484" s="53">
        <f t="shared" si="163"/>
        <v>0</v>
      </c>
      <c r="AI484" s="53">
        <f t="shared" si="163"/>
        <v>0</v>
      </c>
      <c r="AJ484" s="53">
        <f t="shared" si="163"/>
        <v>0</v>
      </c>
      <c r="AK484" s="53">
        <f t="shared" si="163"/>
        <v>0</v>
      </c>
      <c r="AL484" s="53">
        <f t="shared" si="163"/>
        <v>0</v>
      </c>
      <c r="AM484" s="53">
        <f t="shared" si="163"/>
        <v>0</v>
      </c>
    </row>
    <row r="485" spans="10:39" hidden="1" x14ac:dyDescent="0.25">
      <c r="J485" s="94" t="s">
        <v>111</v>
      </c>
      <c r="K485" s="69"/>
      <c r="AG485" s="53">
        <f t="shared" ref="AG485:AM485" si="164">SUMIF($J$11:$J$387,"=Pasta",AG$11:AG$387)</f>
        <v>0</v>
      </c>
      <c r="AH485" s="53">
        <f t="shared" si="164"/>
        <v>0</v>
      </c>
      <c r="AI485" s="53">
        <f t="shared" si="164"/>
        <v>0</v>
      </c>
      <c r="AJ485" s="53">
        <f t="shared" si="164"/>
        <v>0</v>
      </c>
      <c r="AK485" s="53">
        <f t="shared" si="164"/>
        <v>0</v>
      </c>
      <c r="AL485" s="53">
        <f t="shared" si="164"/>
        <v>0</v>
      </c>
      <c r="AM485" s="53">
        <f t="shared" si="164"/>
        <v>0</v>
      </c>
    </row>
    <row r="486" spans="10:39" hidden="1" x14ac:dyDescent="0.25">
      <c r="J486" s="94" t="s">
        <v>112</v>
      </c>
      <c r="K486" s="69"/>
      <c r="AG486" s="53">
        <f t="shared" ref="AG486:AM486" si="165">SUMIF($J$11:$J$387,"=Peanut butter",AG$11:AG$387)</f>
        <v>0</v>
      </c>
      <c r="AH486" s="53">
        <f t="shared" si="165"/>
        <v>-353.6850000000054</v>
      </c>
      <c r="AI486" s="53">
        <f t="shared" si="165"/>
        <v>0</v>
      </c>
      <c r="AJ486" s="53">
        <f t="shared" si="165"/>
        <v>-3556.50000000006</v>
      </c>
      <c r="AK486" s="53">
        <f t="shared" si="165"/>
        <v>421200000</v>
      </c>
      <c r="AL486" s="53">
        <f t="shared" si="165"/>
        <v>0</v>
      </c>
      <c r="AM486" s="53">
        <f t="shared" si="165"/>
        <v>1109628.0000000186</v>
      </c>
    </row>
    <row r="487" spans="10:39" hidden="1" x14ac:dyDescent="0.25">
      <c r="J487" s="94" t="s">
        <v>178</v>
      </c>
      <c r="K487" s="69"/>
      <c r="AG487" s="53">
        <f t="shared" ref="AG487:AM487" si="166">SUMIF($J$11:$J$387,"=Peanut Butter 410g ",AG$11:AG$387)</f>
        <v>0</v>
      </c>
      <c r="AH487" s="53">
        <f t="shared" si="166"/>
        <v>0</v>
      </c>
      <c r="AI487" s="53">
        <f t="shared" si="166"/>
        <v>0</v>
      </c>
      <c r="AJ487" s="53">
        <f t="shared" si="166"/>
        <v>0</v>
      </c>
      <c r="AK487" s="53">
        <f t="shared" si="166"/>
        <v>0</v>
      </c>
      <c r="AL487" s="53">
        <f t="shared" si="166"/>
        <v>0</v>
      </c>
      <c r="AM487" s="53">
        <f t="shared" si="166"/>
        <v>0</v>
      </c>
    </row>
    <row r="488" spans="10:39" hidden="1" x14ac:dyDescent="0.25">
      <c r="J488" s="95" t="s">
        <v>179</v>
      </c>
      <c r="K488" s="69"/>
      <c r="AG488" s="53">
        <f t="shared" ref="AG488:AM488" si="167">SUMIF($J$11:$J$387,"=Personal care items",AG$11:AG$387)</f>
        <v>0</v>
      </c>
      <c r="AH488" s="53">
        <f t="shared" si="167"/>
        <v>0</v>
      </c>
      <c r="AI488" s="53">
        <f t="shared" si="167"/>
        <v>0</v>
      </c>
      <c r="AJ488" s="53">
        <f t="shared" si="167"/>
        <v>0</v>
      </c>
      <c r="AK488" s="53">
        <f t="shared" si="167"/>
        <v>0</v>
      </c>
      <c r="AL488" s="53">
        <f t="shared" si="167"/>
        <v>0</v>
      </c>
      <c r="AM488" s="53">
        <f t="shared" si="167"/>
        <v>0</v>
      </c>
    </row>
    <row r="489" spans="10:39" hidden="1" x14ac:dyDescent="0.25">
      <c r="J489" s="95" t="s">
        <v>180</v>
      </c>
      <c r="K489" s="69"/>
      <c r="AG489" s="53">
        <f t="shared" ref="AG489:AM489" si="168">SUMIF($J$11:$J$387,"=Pet products",AG$11:AG$387)</f>
        <v>0</v>
      </c>
      <c r="AH489" s="53">
        <f t="shared" si="168"/>
        <v>0</v>
      </c>
      <c r="AI489" s="53">
        <f t="shared" si="168"/>
        <v>0</v>
      </c>
      <c r="AJ489" s="53">
        <f t="shared" si="168"/>
        <v>0</v>
      </c>
      <c r="AK489" s="53">
        <f t="shared" si="168"/>
        <v>0</v>
      </c>
      <c r="AL489" s="53">
        <f t="shared" si="168"/>
        <v>0</v>
      </c>
      <c r="AM489" s="53">
        <f t="shared" si="168"/>
        <v>0</v>
      </c>
    </row>
    <row r="490" spans="10:39" hidden="1" x14ac:dyDescent="0.25">
      <c r="J490" s="94" t="s">
        <v>113</v>
      </c>
      <c r="K490" s="69"/>
      <c r="AG490" s="53">
        <f t="shared" ref="AG490:AM490" si="169">SUMIF($J$11:$J$387,"=Pharmaceuticals",AG$11:AG$387)</f>
        <v>0</v>
      </c>
      <c r="AH490" s="53">
        <f t="shared" si="169"/>
        <v>0</v>
      </c>
      <c r="AI490" s="53">
        <f t="shared" si="169"/>
        <v>0</v>
      </c>
      <c r="AJ490" s="53">
        <f t="shared" si="169"/>
        <v>0</v>
      </c>
      <c r="AK490" s="53">
        <f t="shared" si="169"/>
        <v>0</v>
      </c>
      <c r="AL490" s="53">
        <f t="shared" si="169"/>
        <v>0</v>
      </c>
      <c r="AM490" s="53">
        <f t="shared" si="169"/>
        <v>0</v>
      </c>
    </row>
    <row r="491" spans="10:39" hidden="1" x14ac:dyDescent="0.25">
      <c r="J491" s="94" t="s">
        <v>114</v>
      </c>
      <c r="K491" s="69"/>
      <c r="AG491" s="53">
        <f t="shared" ref="AG491:AM491" si="170">SUMIF($J$11:$J$387,"=Plastic",AG$11:AG$387)</f>
        <v>0</v>
      </c>
      <c r="AH491" s="53">
        <f t="shared" si="170"/>
        <v>0</v>
      </c>
      <c r="AI491" s="53">
        <f t="shared" si="170"/>
        <v>0</v>
      </c>
      <c r="AJ491" s="53">
        <f t="shared" si="170"/>
        <v>0</v>
      </c>
      <c r="AK491" s="53">
        <f t="shared" si="170"/>
        <v>0</v>
      </c>
      <c r="AL491" s="53">
        <f t="shared" si="170"/>
        <v>0</v>
      </c>
      <c r="AM491" s="53">
        <f t="shared" si="170"/>
        <v>0</v>
      </c>
    </row>
    <row r="492" spans="10:39" hidden="1" x14ac:dyDescent="0.25">
      <c r="J492" s="94" t="s">
        <v>115</v>
      </c>
      <c r="K492" s="69"/>
      <c r="AG492" s="53">
        <f t="shared" ref="AG492:AM492" si="171">SUMIF($J$11:$J$387,"=Polishes in paste, wax or liquid form",AG$11:AG$387)</f>
        <v>0</v>
      </c>
      <c r="AH492" s="53">
        <f t="shared" si="171"/>
        <v>0</v>
      </c>
      <c r="AI492" s="53">
        <f t="shared" si="171"/>
        <v>0</v>
      </c>
      <c r="AJ492" s="53">
        <f t="shared" si="171"/>
        <v>0</v>
      </c>
      <c r="AK492" s="53">
        <f t="shared" si="171"/>
        <v>0</v>
      </c>
      <c r="AL492" s="53">
        <f t="shared" si="171"/>
        <v>0</v>
      </c>
      <c r="AM492" s="53">
        <f t="shared" si="171"/>
        <v>0</v>
      </c>
    </row>
    <row r="493" spans="10:39" hidden="1" x14ac:dyDescent="0.25">
      <c r="J493" s="94" t="s">
        <v>116</v>
      </c>
      <c r="K493" s="69"/>
      <c r="AG493" s="53">
        <f t="shared" ref="AG493:AM493" si="172">SUMIF($J$11:$J$387,"=Polyolefin compounds in the form of coloured membrane for damp-proofing, water-proofing or agricultural use and similar polyolefin based products which have the appearance of such membranes excluding made up articles produced from such membrane",AG$11:AG$387)</f>
        <v>0</v>
      </c>
      <c r="AH493" s="53">
        <f t="shared" si="172"/>
        <v>0</v>
      </c>
      <c r="AI493" s="53">
        <f t="shared" si="172"/>
        <v>0</v>
      </c>
      <c r="AJ493" s="53">
        <f t="shared" si="172"/>
        <v>0</v>
      </c>
      <c r="AK493" s="53">
        <f t="shared" si="172"/>
        <v>0</v>
      </c>
      <c r="AL493" s="53">
        <f t="shared" si="172"/>
        <v>0</v>
      </c>
      <c r="AM493" s="53">
        <f t="shared" si="172"/>
        <v>0</v>
      </c>
    </row>
    <row r="494" spans="10:39" hidden="1" x14ac:dyDescent="0.25">
      <c r="J494" s="94" t="s">
        <v>181</v>
      </c>
      <c r="K494" s="69"/>
      <c r="AG494" s="53">
        <f t="shared" ref="AG494:AM494" si="173">SUMIF($J$11:$J$387,"=Poultry Chicken/kg",AG$11:AG$387)</f>
        <v>0.65</v>
      </c>
      <c r="AH494" s="53">
        <f t="shared" si="173"/>
        <v>-1.3125000000000002</v>
      </c>
      <c r="AI494" s="53">
        <f t="shared" si="173"/>
        <v>1.7949999999999999</v>
      </c>
      <c r="AJ494" s="53">
        <f t="shared" si="173"/>
        <v>-0.35000000000000003</v>
      </c>
      <c r="AK494" s="53">
        <f t="shared" si="173"/>
        <v>427712.48</v>
      </c>
      <c r="AL494" s="53">
        <f t="shared" si="173"/>
        <v>384.79999999999995</v>
      </c>
      <c r="AM494" s="53">
        <f t="shared" si="173"/>
        <v>72.800000000000011</v>
      </c>
    </row>
    <row r="495" spans="10:39" hidden="1" x14ac:dyDescent="0.25">
      <c r="J495" s="94" t="s">
        <v>117</v>
      </c>
      <c r="K495" s="69"/>
      <c r="AG495" s="53">
        <f t="shared" ref="AG495:AM495" si="174">SUMIF($J$11:$J$387,"=Poultry including when processed or enhanced in any manner",AG$11:AG$387)</f>
        <v>1.8948461538461541</v>
      </c>
      <c r="AH495" s="53">
        <f t="shared" si="174"/>
        <v>0</v>
      </c>
      <c r="AI495" s="53">
        <f t="shared" si="174"/>
        <v>6.3761538461538469</v>
      </c>
      <c r="AJ495" s="53">
        <f t="shared" si="174"/>
        <v>0</v>
      </c>
      <c r="AK495" s="53">
        <f t="shared" si="174"/>
        <v>831685.76</v>
      </c>
      <c r="AL495" s="53">
        <f t="shared" si="174"/>
        <v>1875.12</v>
      </c>
      <c r="AM495" s="53">
        <f t="shared" si="174"/>
        <v>0</v>
      </c>
    </row>
    <row r="496" spans="10:39" hidden="1" x14ac:dyDescent="0.25">
      <c r="J496" s="95" t="s">
        <v>182</v>
      </c>
      <c r="K496" s="69"/>
      <c r="AG496" s="53">
        <f t="shared" ref="AG496:AM496" si="175">SUMIF($J$11:$J$387,"=Rice 2kg ",AG$11:AG$387)</f>
        <v>0</v>
      </c>
      <c r="AH496" s="53">
        <f t="shared" si="175"/>
        <v>0</v>
      </c>
      <c r="AI496" s="53">
        <f t="shared" si="175"/>
        <v>0</v>
      </c>
      <c r="AJ496" s="53">
        <f t="shared" si="175"/>
        <v>0</v>
      </c>
      <c r="AK496" s="53">
        <f t="shared" si="175"/>
        <v>0</v>
      </c>
      <c r="AL496" s="53">
        <f t="shared" si="175"/>
        <v>0</v>
      </c>
      <c r="AM496" s="53">
        <f t="shared" si="175"/>
        <v>0</v>
      </c>
    </row>
    <row r="497" spans="10:39" hidden="1" x14ac:dyDescent="0.25">
      <c r="J497" s="94" t="s">
        <v>183</v>
      </c>
      <c r="K497" s="69"/>
      <c r="AG497" s="53">
        <f t="shared" ref="AG497:AM497" si="176">SUMIF($J$11:$J$387,"=Rice",AG$11:AG$387)</f>
        <v>0</v>
      </c>
      <c r="AH497" s="53">
        <f t="shared" si="176"/>
        <v>0</v>
      </c>
      <c r="AI497" s="53">
        <f t="shared" si="176"/>
        <v>0</v>
      </c>
      <c r="AJ497" s="53">
        <f t="shared" si="176"/>
        <v>0</v>
      </c>
      <c r="AK497" s="53">
        <f t="shared" si="176"/>
        <v>0</v>
      </c>
      <c r="AL497" s="53">
        <f t="shared" si="176"/>
        <v>0</v>
      </c>
      <c r="AM497" s="53">
        <f t="shared" si="176"/>
        <v>0</v>
      </c>
    </row>
    <row r="498" spans="10:39" hidden="1" x14ac:dyDescent="0.25">
      <c r="J498" s="94" t="s">
        <v>118</v>
      </c>
      <c r="K498" s="69"/>
      <c r="AG498" s="53">
        <f t="shared" ref="AG498:AM498" si="177">SUMIF($J$11:$J$387,"=Rope, cordage and twine",AG$11:AG$387)</f>
        <v>0</v>
      </c>
      <c r="AH498" s="53">
        <f t="shared" si="177"/>
        <v>0</v>
      </c>
      <c r="AI498" s="53">
        <f t="shared" si="177"/>
        <v>0</v>
      </c>
      <c r="AJ498" s="53">
        <f t="shared" si="177"/>
        <v>0</v>
      </c>
      <c r="AK498" s="53">
        <f t="shared" si="177"/>
        <v>0</v>
      </c>
      <c r="AL498" s="53">
        <f t="shared" si="177"/>
        <v>0</v>
      </c>
      <c r="AM498" s="53">
        <f t="shared" si="177"/>
        <v>0</v>
      </c>
    </row>
    <row r="499" spans="10:39" hidden="1" x14ac:dyDescent="0.25">
      <c r="J499" s="94" t="s">
        <v>119</v>
      </c>
      <c r="K499" s="69"/>
      <c r="AG499" s="53">
        <f t="shared" ref="AG499:AM499" si="178">SUMIF($J$11:$J$387,"=rusks",AG$11:AG$387)</f>
        <v>0</v>
      </c>
      <c r="AH499" s="53">
        <f t="shared" si="178"/>
        <v>0</v>
      </c>
      <c r="AI499" s="53">
        <f t="shared" si="178"/>
        <v>0</v>
      </c>
      <c r="AJ499" s="53">
        <f t="shared" si="178"/>
        <v>0</v>
      </c>
      <c r="AK499" s="53">
        <f t="shared" si="178"/>
        <v>0</v>
      </c>
      <c r="AL499" s="53">
        <f t="shared" si="178"/>
        <v>0</v>
      </c>
      <c r="AM499" s="53">
        <f t="shared" si="178"/>
        <v>0</v>
      </c>
    </row>
    <row r="500" spans="10:39" hidden="1" x14ac:dyDescent="0.25">
      <c r="J500" s="94" t="s">
        <v>120</v>
      </c>
      <c r="K500" s="69"/>
      <c r="AG500" s="53">
        <f t="shared" ref="AG500:AM500" si="179">SUMIF($J$11:$J$387,"=Salads",AG$11:AG$387)</f>
        <v>0</v>
      </c>
      <c r="AH500" s="53">
        <f t="shared" si="179"/>
        <v>0</v>
      </c>
      <c r="AI500" s="53">
        <f t="shared" si="179"/>
        <v>0</v>
      </c>
      <c r="AJ500" s="53">
        <f t="shared" si="179"/>
        <v>0</v>
      </c>
      <c r="AK500" s="53">
        <f t="shared" si="179"/>
        <v>0</v>
      </c>
      <c r="AL500" s="53">
        <f t="shared" si="179"/>
        <v>0</v>
      </c>
      <c r="AM500" s="53">
        <f t="shared" si="179"/>
        <v>0</v>
      </c>
    </row>
    <row r="501" spans="10:39" hidden="1" x14ac:dyDescent="0.25">
      <c r="J501" s="94" t="s">
        <v>121</v>
      </c>
      <c r="K501" s="69"/>
      <c r="AG501" s="53">
        <f t="shared" ref="AG501:AM501" si="180">SUMIF($J$11:$J$387,"=Salt",AG$11:AG$387)</f>
        <v>0</v>
      </c>
      <c r="AH501" s="53">
        <f t="shared" si="180"/>
        <v>0</v>
      </c>
      <c r="AI501" s="53">
        <f t="shared" si="180"/>
        <v>0</v>
      </c>
      <c r="AJ501" s="53">
        <f t="shared" si="180"/>
        <v>0</v>
      </c>
      <c r="AK501" s="53">
        <f t="shared" si="180"/>
        <v>0</v>
      </c>
      <c r="AL501" s="53">
        <f t="shared" si="180"/>
        <v>0</v>
      </c>
      <c r="AM501" s="53">
        <f t="shared" si="180"/>
        <v>0</v>
      </c>
    </row>
    <row r="502" spans="10:39" hidden="1" x14ac:dyDescent="0.25">
      <c r="J502" s="94" t="s">
        <v>122</v>
      </c>
      <c r="K502" s="69"/>
      <c r="AG502" s="53">
        <f t="shared" ref="AG502:AM502" si="181">SUMIF($J$11:$J$387,"=Seafood &amp; Fish",AG$11:AG$387)</f>
        <v>0</v>
      </c>
      <c r="AH502" s="53">
        <f t="shared" si="181"/>
        <v>-14.879999999999999</v>
      </c>
      <c r="AI502" s="53">
        <f t="shared" si="181"/>
        <v>0</v>
      </c>
      <c r="AJ502" s="53">
        <f t="shared" si="181"/>
        <v>-14.879999999999999</v>
      </c>
      <c r="AK502" s="53">
        <f t="shared" si="181"/>
        <v>644800</v>
      </c>
      <c r="AL502" s="53">
        <f t="shared" si="181"/>
        <v>0</v>
      </c>
      <c r="AM502" s="53">
        <f t="shared" si="181"/>
        <v>3868.7999999999997</v>
      </c>
    </row>
    <row r="503" spans="10:39" hidden="1" x14ac:dyDescent="0.25">
      <c r="J503" s="94" t="s">
        <v>123</v>
      </c>
      <c r="K503" s="69"/>
      <c r="AG503" s="53">
        <f t="shared" ref="AG503:AM503" si="182">SUMIF($J$11:$J$387,"=Seeds including maize seeds",AG$11:AG$387)</f>
        <v>0</v>
      </c>
      <c r="AH503" s="53">
        <f t="shared" si="182"/>
        <v>0</v>
      </c>
      <c r="AI503" s="53">
        <f t="shared" si="182"/>
        <v>0</v>
      </c>
      <c r="AJ503" s="53">
        <f t="shared" si="182"/>
        <v>0</v>
      </c>
      <c r="AK503" s="53">
        <f t="shared" si="182"/>
        <v>0</v>
      </c>
      <c r="AL503" s="53">
        <f t="shared" si="182"/>
        <v>0</v>
      </c>
      <c r="AM503" s="53">
        <f t="shared" si="182"/>
        <v>0</v>
      </c>
    </row>
    <row r="504" spans="10:39" hidden="1" x14ac:dyDescent="0.25">
      <c r="J504" s="94" t="s">
        <v>124</v>
      </c>
      <c r="K504" s="69"/>
      <c r="AG504" s="53">
        <f t="shared" ref="AG504:AM504" si="183">SUMIF($J$11:$J$387,"=Sewing thread",AG$11:AG$387)</f>
        <v>0</v>
      </c>
      <c r="AH504" s="53">
        <f t="shared" si="183"/>
        <v>0</v>
      </c>
      <c r="AI504" s="53">
        <f t="shared" si="183"/>
        <v>0</v>
      </c>
      <c r="AJ504" s="53">
        <f t="shared" si="183"/>
        <v>0</v>
      </c>
      <c r="AK504" s="53">
        <f t="shared" si="183"/>
        <v>0</v>
      </c>
      <c r="AL504" s="53">
        <f t="shared" si="183"/>
        <v>0</v>
      </c>
      <c r="AM504" s="53">
        <f t="shared" si="183"/>
        <v>0</v>
      </c>
    </row>
    <row r="505" spans="10:39" hidden="1" x14ac:dyDescent="0.25">
      <c r="J505" s="94" t="s">
        <v>125</v>
      </c>
      <c r="K505" s="69"/>
      <c r="AG505" s="53">
        <f t="shared" ref="AG505:AM505" si="184">SUMIF($J$11:$J$387,"=Snacks",AG$11:AG$387)</f>
        <v>0</v>
      </c>
      <c r="AH505" s="53">
        <f t="shared" si="184"/>
        <v>0</v>
      </c>
      <c r="AI505" s="53">
        <f t="shared" si="184"/>
        <v>0</v>
      </c>
      <c r="AJ505" s="53">
        <f t="shared" si="184"/>
        <v>0</v>
      </c>
      <c r="AK505" s="53">
        <f t="shared" si="184"/>
        <v>0</v>
      </c>
      <c r="AL505" s="53">
        <f t="shared" si="184"/>
        <v>0</v>
      </c>
      <c r="AM505" s="53">
        <f t="shared" si="184"/>
        <v>0</v>
      </c>
    </row>
    <row r="506" spans="10:39" hidden="1" x14ac:dyDescent="0.25">
      <c r="J506" s="94" t="s">
        <v>184</v>
      </c>
      <c r="K506" s="69"/>
      <c r="AG506" s="53">
        <f t="shared" ref="AG506:AM506" si="185">SUMIF($J$11:$J$387,"=Soft drinks",AG$11:AG$387)</f>
        <v>0</v>
      </c>
      <c r="AH506" s="53">
        <f t="shared" si="185"/>
        <v>0</v>
      </c>
      <c r="AI506" s="53">
        <f t="shared" si="185"/>
        <v>0</v>
      </c>
      <c r="AJ506" s="53">
        <f t="shared" si="185"/>
        <v>0</v>
      </c>
      <c r="AK506" s="53">
        <f t="shared" si="185"/>
        <v>0</v>
      </c>
      <c r="AL506" s="53">
        <f t="shared" si="185"/>
        <v>0</v>
      </c>
      <c r="AM506" s="53">
        <f t="shared" si="185"/>
        <v>0</v>
      </c>
    </row>
    <row r="507" spans="10:39" hidden="1" x14ac:dyDescent="0.25">
      <c r="J507" s="95" t="s">
        <v>126</v>
      </c>
      <c r="K507" s="69"/>
      <c r="AG507" s="53">
        <f t="shared" ref="AG507:AM507" si="186">SUMIF($J$11:$J$387,"=Sorghum Meal",AG$11:AG$387)</f>
        <v>0</v>
      </c>
      <c r="AH507" s="53">
        <f t="shared" si="186"/>
        <v>0</v>
      </c>
      <c r="AI507" s="53">
        <f t="shared" si="186"/>
        <v>0</v>
      </c>
      <c r="AJ507" s="53">
        <f t="shared" si="186"/>
        <v>0</v>
      </c>
      <c r="AK507" s="53">
        <f t="shared" si="186"/>
        <v>0</v>
      </c>
      <c r="AL507" s="53">
        <f t="shared" si="186"/>
        <v>0</v>
      </c>
      <c r="AM507" s="53">
        <f t="shared" si="186"/>
        <v>0</v>
      </c>
    </row>
    <row r="508" spans="10:39" hidden="1" x14ac:dyDescent="0.25">
      <c r="J508" s="94" t="s">
        <v>195</v>
      </c>
      <c r="K508" s="69"/>
      <c r="AG508" s="53">
        <f t="shared" ref="AG508:AM508" si="187">SUMIF($J$11:$J$387,"=Spices and herbs",AG$11:AG$387)</f>
        <v>0</v>
      </c>
      <c r="AH508" s="53">
        <f t="shared" si="187"/>
        <v>0</v>
      </c>
      <c r="AI508" s="53">
        <f t="shared" si="187"/>
        <v>0</v>
      </c>
      <c r="AJ508" s="53">
        <f t="shared" si="187"/>
        <v>0</v>
      </c>
      <c r="AK508" s="53">
        <f t="shared" si="187"/>
        <v>0</v>
      </c>
      <c r="AL508" s="53">
        <f t="shared" si="187"/>
        <v>0</v>
      </c>
      <c r="AM508" s="53">
        <f t="shared" si="187"/>
        <v>0</v>
      </c>
    </row>
    <row r="509" spans="10:39" hidden="1" x14ac:dyDescent="0.25">
      <c r="J509" s="94" t="s">
        <v>127</v>
      </c>
      <c r="K509" s="69"/>
      <c r="AG509" s="53">
        <f t="shared" ref="AG509:AM509" si="188">SUMIF($J$11:$J$387,"=Spreads being meat extracts vegetable extracts and fish paste",AG$11:AG$387)</f>
        <v>0</v>
      </c>
      <c r="AH509" s="53">
        <f t="shared" si="188"/>
        <v>0</v>
      </c>
      <c r="AI509" s="53">
        <f t="shared" si="188"/>
        <v>0</v>
      </c>
      <c r="AJ509" s="53">
        <f t="shared" si="188"/>
        <v>0</v>
      </c>
      <c r="AK509" s="53">
        <f t="shared" si="188"/>
        <v>0</v>
      </c>
      <c r="AL509" s="53">
        <f t="shared" si="188"/>
        <v>0</v>
      </c>
      <c r="AM509" s="53">
        <f t="shared" si="188"/>
        <v>0</v>
      </c>
    </row>
    <row r="510" spans="10:39" hidden="1" x14ac:dyDescent="0.25">
      <c r="J510" s="94" t="s">
        <v>185</v>
      </c>
      <c r="K510" s="69"/>
      <c r="AG510" s="53">
        <f t="shared" ref="AG510:AM510" si="189">SUMIF($J$11:$J$387,"=Stationery and drawing Materials",AG$11:AG$387)</f>
        <v>0</v>
      </c>
      <c r="AH510" s="53">
        <f t="shared" si="189"/>
        <v>0</v>
      </c>
      <c r="AI510" s="53">
        <f t="shared" si="189"/>
        <v>0</v>
      </c>
      <c r="AJ510" s="53">
        <f t="shared" si="189"/>
        <v>0</v>
      </c>
      <c r="AK510" s="53">
        <f t="shared" si="189"/>
        <v>0</v>
      </c>
      <c r="AL510" s="53">
        <f t="shared" si="189"/>
        <v>0</v>
      </c>
      <c r="AM510" s="53">
        <f t="shared" si="189"/>
        <v>0</v>
      </c>
    </row>
    <row r="511" spans="10:39" hidden="1" x14ac:dyDescent="0.25">
      <c r="J511" s="95" t="s">
        <v>187</v>
      </c>
      <c r="K511" s="69"/>
      <c r="AG511" s="53">
        <f t="shared" ref="AG511:AM511" si="190">SUMIF($J$11:$J$387,"=Sugar 2,5 kg White ",AG$11:AG$387)</f>
        <v>0</v>
      </c>
      <c r="AH511" s="53">
        <f t="shared" si="190"/>
        <v>0</v>
      </c>
      <c r="AI511" s="53">
        <f t="shared" si="190"/>
        <v>0</v>
      </c>
      <c r="AJ511" s="53">
        <f t="shared" si="190"/>
        <v>0</v>
      </c>
      <c r="AK511" s="53">
        <f t="shared" si="190"/>
        <v>0</v>
      </c>
      <c r="AL511" s="53">
        <f t="shared" si="190"/>
        <v>0</v>
      </c>
      <c r="AM511" s="53">
        <f t="shared" si="190"/>
        <v>0</v>
      </c>
    </row>
    <row r="512" spans="10:39" hidden="1" x14ac:dyDescent="0.25">
      <c r="J512" s="94" t="s">
        <v>128</v>
      </c>
      <c r="K512" s="69"/>
      <c r="AG512" s="53">
        <f t="shared" ref="AG512:AM512" si="191">SUMIF($J$11:$J$387,"=Sugar or chocolate confectionery",AG$11:AG$387)</f>
        <v>0</v>
      </c>
      <c r="AH512" s="53">
        <f t="shared" si="191"/>
        <v>0</v>
      </c>
      <c r="AI512" s="53">
        <f t="shared" si="191"/>
        <v>0</v>
      </c>
      <c r="AJ512" s="53">
        <f t="shared" si="191"/>
        <v>0</v>
      </c>
      <c r="AK512" s="53">
        <f t="shared" si="191"/>
        <v>0</v>
      </c>
      <c r="AL512" s="53">
        <f t="shared" si="191"/>
        <v>0</v>
      </c>
      <c r="AM512" s="53">
        <f t="shared" si="191"/>
        <v>0</v>
      </c>
    </row>
    <row r="513" spans="10:41" hidden="1" x14ac:dyDescent="0.25">
      <c r="J513" s="94" t="s">
        <v>186</v>
      </c>
      <c r="K513" s="69"/>
      <c r="AG513" s="53">
        <f t="shared" ref="AG513:AM513" si="192">SUMIF($J$11:$J$387,"=Sugar other",AG$11:AG$387)</f>
        <v>0</v>
      </c>
      <c r="AH513" s="53">
        <f t="shared" si="192"/>
        <v>0</v>
      </c>
      <c r="AI513" s="53">
        <f t="shared" si="192"/>
        <v>0</v>
      </c>
      <c r="AJ513" s="53">
        <f t="shared" si="192"/>
        <v>0</v>
      </c>
      <c r="AK513" s="53">
        <f t="shared" si="192"/>
        <v>0</v>
      </c>
      <c r="AL513" s="53">
        <f t="shared" si="192"/>
        <v>0</v>
      </c>
      <c r="AM513" s="53">
        <f t="shared" si="192"/>
        <v>0</v>
      </c>
    </row>
    <row r="514" spans="10:41" hidden="1" x14ac:dyDescent="0.25">
      <c r="J514" s="94" t="s">
        <v>129</v>
      </c>
      <c r="K514" s="69"/>
      <c r="AG514" s="53">
        <f t="shared" ref="AG514:AM514" si="193">SUMIF($J$11:$J$387,"=Tea",AG$11:AG$387)</f>
        <v>0</v>
      </c>
      <c r="AH514" s="53">
        <f t="shared" si="193"/>
        <v>0</v>
      </c>
      <c r="AI514" s="53">
        <f t="shared" si="193"/>
        <v>0</v>
      </c>
      <c r="AJ514" s="53">
        <f t="shared" si="193"/>
        <v>0</v>
      </c>
      <c r="AK514" s="53">
        <f t="shared" si="193"/>
        <v>0</v>
      </c>
      <c r="AL514" s="53">
        <f t="shared" si="193"/>
        <v>0</v>
      </c>
      <c r="AM514" s="53">
        <f t="shared" si="193"/>
        <v>0</v>
      </c>
    </row>
    <row r="515" spans="10:41" hidden="1" x14ac:dyDescent="0.25">
      <c r="J515" s="95" t="s">
        <v>188</v>
      </c>
      <c r="K515" s="69"/>
      <c r="AG515" s="53">
        <f t="shared" ref="AG515:AM515" si="194">SUMIF($J$11:$J$387,"=Tea Leaves 250g",AG$11:AG$387)</f>
        <v>0</v>
      </c>
      <c r="AH515" s="53">
        <f t="shared" si="194"/>
        <v>0</v>
      </c>
      <c r="AI515" s="53">
        <f t="shared" si="194"/>
        <v>0</v>
      </c>
      <c r="AJ515" s="53">
        <f t="shared" si="194"/>
        <v>0</v>
      </c>
      <c r="AK515" s="53">
        <f t="shared" si="194"/>
        <v>0</v>
      </c>
      <c r="AL515" s="53">
        <f t="shared" si="194"/>
        <v>0</v>
      </c>
      <c r="AM515" s="53">
        <f t="shared" si="194"/>
        <v>0</v>
      </c>
    </row>
    <row r="516" spans="10:41" hidden="1" x14ac:dyDescent="0.25">
      <c r="J516" s="94" t="s">
        <v>130</v>
      </c>
      <c r="K516" s="69"/>
      <c r="AG516" s="53">
        <f t="shared" ref="AG516:AM516" si="195">SUMIF($J$11:$J$387,"=Toilet soap when in the form of bars, tablets or cakes",AG$11:AG$387)</f>
        <v>0</v>
      </c>
      <c r="AH516" s="53">
        <f t="shared" si="195"/>
        <v>0</v>
      </c>
      <c r="AI516" s="53">
        <f t="shared" si="195"/>
        <v>0</v>
      </c>
      <c r="AJ516" s="53">
        <f t="shared" si="195"/>
        <v>0</v>
      </c>
      <c r="AK516" s="53">
        <f t="shared" si="195"/>
        <v>0</v>
      </c>
      <c r="AL516" s="53">
        <f t="shared" si="195"/>
        <v>0</v>
      </c>
      <c r="AM516" s="53">
        <f t="shared" si="195"/>
        <v>0</v>
      </c>
    </row>
    <row r="517" spans="10:41" hidden="1" x14ac:dyDescent="0.25">
      <c r="J517" s="94" t="s">
        <v>131</v>
      </c>
      <c r="K517" s="69"/>
      <c r="AG517" s="53">
        <f t="shared" ref="AG517:AM517" si="196">SUMIF($J$11:$J$387,"=Toothpaste",AG$11:AG$387)</f>
        <v>0</v>
      </c>
      <c r="AH517" s="53">
        <f t="shared" si="196"/>
        <v>0</v>
      </c>
      <c r="AI517" s="53">
        <f t="shared" si="196"/>
        <v>0</v>
      </c>
      <c r="AJ517" s="53">
        <f t="shared" si="196"/>
        <v>0</v>
      </c>
      <c r="AK517" s="53">
        <f t="shared" si="196"/>
        <v>0</v>
      </c>
      <c r="AL517" s="53">
        <f t="shared" si="196"/>
        <v>0</v>
      </c>
      <c r="AM517" s="53">
        <f t="shared" si="196"/>
        <v>0</v>
      </c>
    </row>
    <row r="518" spans="10:41" hidden="1" x14ac:dyDescent="0.25">
      <c r="J518" s="95" t="s">
        <v>189</v>
      </c>
      <c r="K518" s="69"/>
      <c r="AG518" s="53">
        <f t="shared" ref="AG518:AM518" si="197">SUMIF($J$11:$J$387,"=Veg Onions/kg",AG$11:AG$387)</f>
        <v>0</v>
      </c>
      <c r="AH518" s="53">
        <f t="shared" si="197"/>
        <v>0</v>
      </c>
      <c r="AI518" s="53">
        <f t="shared" si="197"/>
        <v>0</v>
      </c>
      <c r="AJ518" s="53">
        <f t="shared" si="197"/>
        <v>0</v>
      </c>
      <c r="AK518" s="53">
        <f t="shared" si="197"/>
        <v>0</v>
      </c>
      <c r="AL518" s="53">
        <f t="shared" si="197"/>
        <v>0</v>
      </c>
      <c r="AM518" s="53">
        <f t="shared" si="197"/>
        <v>0</v>
      </c>
    </row>
    <row r="519" spans="10:41" hidden="1" x14ac:dyDescent="0.25">
      <c r="J519" s="95" t="s">
        <v>190</v>
      </c>
      <c r="K519" s="69"/>
      <c r="AG519" s="53">
        <f t="shared" ref="AG519:AM519" si="198">SUMIF($J$11:$J$387,"=Veg Potatoes/kg",AG$11:AG$387)</f>
        <v>0</v>
      </c>
      <c r="AH519" s="53">
        <f t="shared" si="198"/>
        <v>0</v>
      </c>
      <c r="AI519" s="53">
        <f t="shared" si="198"/>
        <v>0</v>
      </c>
      <c r="AJ519" s="53">
        <f t="shared" si="198"/>
        <v>0</v>
      </c>
      <c r="AK519" s="53">
        <f t="shared" si="198"/>
        <v>0</v>
      </c>
      <c r="AL519" s="53">
        <f t="shared" si="198"/>
        <v>0</v>
      </c>
      <c r="AM519" s="53">
        <f t="shared" si="198"/>
        <v>0</v>
      </c>
    </row>
    <row r="520" spans="10:41" hidden="1" x14ac:dyDescent="0.25">
      <c r="J520" s="96" t="s">
        <v>191</v>
      </c>
      <c r="K520" s="70"/>
      <c r="AG520" s="53">
        <f t="shared" ref="AG520:AM520" si="199">SUMIF($J$11:$J$387,"=Veg Tomatoes/kg",AG$11:AG$387)</f>
        <v>0</v>
      </c>
      <c r="AH520" s="53">
        <f t="shared" si="199"/>
        <v>0</v>
      </c>
      <c r="AI520" s="53">
        <f t="shared" si="199"/>
        <v>0</v>
      </c>
      <c r="AJ520" s="53">
        <f t="shared" si="199"/>
        <v>0</v>
      </c>
      <c r="AK520" s="53">
        <f t="shared" si="199"/>
        <v>0</v>
      </c>
      <c r="AL520" s="53">
        <f t="shared" si="199"/>
        <v>0</v>
      </c>
      <c r="AM520" s="53">
        <f t="shared" si="199"/>
        <v>0</v>
      </c>
    </row>
    <row r="521" spans="10:41" ht="15.75" hidden="1" thickBot="1" x14ac:dyDescent="0.3">
      <c r="J521" s="96" t="s">
        <v>192</v>
      </c>
      <c r="K521" s="70"/>
      <c r="AG521" s="53">
        <f t="shared" ref="AG521:AM521" si="200">SUMIF($J$11:$J$387,"=Vegetables other",AG$11:AG$387)</f>
        <v>0</v>
      </c>
      <c r="AH521" s="53">
        <f t="shared" si="200"/>
        <v>-6.3741144444444435</v>
      </c>
      <c r="AI521" s="53">
        <f t="shared" si="200"/>
        <v>0</v>
      </c>
      <c r="AJ521" s="53">
        <f t="shared" si="200"/>
        <v>-6.3741144444444435</v>
      </c>
      <c r="AK521" s="53">
        <f t="shared" si="200"/>
        <v>159665.42591999998</v>
      </c>
      <c r="AL521" s="53">
        <f t="shared" si="200"/>
        <v>0</v>
      </c>
      <c r="AM521" s="53">
        <f t="shared" si="200"/>
        <v>2320.1776577777773</v>
      </c>
    </row>
    <row r="522" spans="10:41" hidden="1" x14ac:dyDescent="0.25">
      <c r="J522" s="97" t="s">
        <v>132</v>
      </c>
      <c r="K522" s="70"/>
      <c r="AG522" s="53">
        <f t="shared" ref="AG522:AM522" si="201">SUMIF($J$11:$J$387,"=Vinegar",AG$11:AG$387)</f>
        <v>310.80000000000109</v>
      </c>
      <c r="AH522" s="53">
        <f t="shared" si="201"/>
        <v>0</v>
      </c>
      <c r="AI522" s="53">
        <f t="shared" si="201"/>
        <v>310.80000000000109</v>
      </c>
      <c r="AJ522" s="53">
        <f t="shared" si="201"/>
        <v>0</v>
      </c>
      <c r="AK522" s="53">
        <f t="shared" si="201"/>
        <v>4680000</v>
      </c>
      <c r="AL522" s="53">
        <f t="shared" si="201"/>
        <v>80808.000000000291</v>
      </c>
      <c r="AM522" s="53">
        <f t="shared" si="201"/>
        <v>0</v>
      </c>
    </row>
    <row r="523" spans="10:41" hidden="1" x14ac:dyDescent="0.25">
      <c r="J523" s="97" t="s">
        <v>133</v>
      </c>
      <c r="K523" s="70"/>
      <c r="AG523" s="53">
        <f t="shared" ref="AG523:AM523" si="202">SUMIF($J$11:$J$387,"=Water",AG$11:AG$387)</f>
        <v>0</v>
      </c>
      <c r="AH523" s="53">
        <f t="shared" si="202"/>
        <v>0</v>
      </c>
      <c r="AI523" s="53">
        <f t="shared" si="202"/>
        <v>0</v>
      </c>
      <c r="AJ523" s="53">
        <f t="shared" si="202"/>
        <v>0</v>
      </c>
      <c r="AK523" s="53">
        <f t="shared" si="202"/>
        <v>0</v>
      </c>
      <c r="AL523" s="53">
        <f t="shared" si="202"/>
        <v>0</v>
      </c>
      <c r="AM523" s="53">
        <f t="shared" si="202"/>
        <v>0</v>
      </c>
    </row>
    <row r="524" spans="10:41" hidden="1" x14ac:dyDescent="0.25">
      <c r="J524" s="97" t="s">
        <v>134</v>
      </c>
      <c r="K524" s="70"/>
      <c r="AG524" s="53">
        <f t="shared" ref="AG524:AM524" si="203">SUMIF($J$11:$J$387,"=Wire (all types)",AG$11:AG$387)</f>
        <v>0</v>
      </c>
      <c r="AH524" s="53">
        <f t="shared" si="203"/>
        <v>0</v>
      </c>
      <c r="AI524" s="53">
        <f t="shared" si="203"/>
        <v>0</v>
      </c>
      <c r="AJ524" s="53">
        <f t="shared" si="203"/>
        <v>0</v>
      </c>
      <c r="AK524" s="53">
        <f t="shared" si="203"/>
        <v>0</v>
      </c>
      <c r="AL524" s="53">
        <f t="shared" si="203"/>
        <v>0</v>
      </c>
      <c r="AM524" s="53">
        <f t="shared" si="203"/>
        <v>0</v>
      </c>
    </row>
    <row r="525" spans="10:41" ht="15.75" hidden="1" thickBot="1" x14ac:dyDescent="0.3">
      <c r="J525" s="98" t="s">
        <v>135</v>
      </c>
      <c r="K525" s="71"/>
      <c r="AG525" s="53">
        <f t="shared" ref="AG525:AM525" si="204">SUMIF($J$11:$J$387,"=yoghurt",AG$11:AG$387)</f>
        <v>0</v>
      </c>
      <c r="AH525" s="53">
        <f t="shared" si="204"/>
        <v>0</v>
      </c>
      <c r="AI525" s="53">
        <f t="shared" si="204"/>
        <v>0</v>
      </c>
      <c r="AJ525" s="53">
        <f t="shared" si="204"/>
        <v>0</v>
      </c>
      <c r="AK525" s="53">
        <f t="shared" si="204"/>
        <v>0</v>
      </c>
      <c r="AL525" s="53">
        <f t="shared" si="204"/>
        <v>0</v>
      </c>
      <c r="AM525" s="53">
        <f t="shared" si="204"/>
        <v>0</v>
      </c>
    </row>
    <row r="526" spans="10:41" ht="15.75" thickBot="1" x14ac:dyDescent="0.3">
      <c r="AM526" s="85">
        <f>SUM(AM392:AM525)</f>
        <v>2891660.3380161948</v>
      </c>
      <c r="AO526" s="76"/>
    </row>
    <row r="527" spans="10:41" x14ac:dyDescent="0.25">
      <c r="AM527" s="76"/>
    </row>
  </sheetData>
  <sheetProtection password="CA60" sheet="1" objects="1" scenarios="1"/>
  <autoFilter ref="A7:AM376">
    <filterColumn colId="9">
      <filters>
        <filter val="Bread"/>
        <filter val="Bread Brown"/>
        <filter val="Bread other"/>
        <filter val="Bread Other and cereal product"/>
        <filter val="Bread White"/>
      </filters>
    </filterColumn>
  </autoFilter>
  <sortState ref="A38:AO93">
    <sortCondition ref="L38:L93"/>
  </sortState>
  <mergeCells count="23">
    <mergeCell ref="C401:E401"/>
    <mergeCell ref="C402:E402"/>
    <mergeCell ref="C398:E398"/>
    <mergeCell ref="C399:E399"/>
    <mergeCell ref="C400:E400"/>
    <mergeCell ref="C395:E395"/>
    <mergeCell ref="C396:E396"/>
    <mergeCell ref="C397:E397"/>
    <mergeCell ref="C392:E392"/>
    <mergeCell ref="C393:E393"/>
    <mergeCell ref="C394:E394"/>
    <mergeCell ref="C391:E391"/>
    <mergeCell ref="L1:AO1"/>
    <mergeCell ref="V2:W2"/>
    <mergeCell ref="V3:W3"/>
    <mergeCell ref="V4:W4"/>
    <mergeCell ref="A5:AO5"/>
    <mergeCell ref="A6:AO6"/>
    <mergeCell ref="U389:AC389"/>
    <mergeCell ref="AE389:AH389"/>
    <mergeCell ref="C390:E390"/>
    <mergeCell ref="U390:AC390"/>
    <mergeCell ref="AE390:AH390"/>
  </mergeCells>
  <dataValidations count="15">
    <dataValidation allowBlank="1" showInputMessage="1" showErrorMessage="1" promptTitle="Random packets weighed at retail" prompt="Indicate the total number of packets weighed in cases where random packages have been checked. Indicate total weight of all packets measured." sqref="WVZ132:WVZ151 JN132:JN151 WMD132:WMD151 WCH132:WCH151 VSL132:VSL151 VIP132:VIP151 UYT132:UYT151 UOX132:UOX151 UFB132:UFB151 TVF132:TVF151 TLJ132:TLJ151 TBN132:TBN151 SRR132:SRR151 SHV132:SHV151 RXZ132:RXZ151 ROD132:ROD151 REH132:REH151 QUL132:QUL151 QKP132:QKP151 QAT132:QAT151 PQX132:PQX151 PHB132:PHB151 OXF132:OXF151 ONJ132:ONJ151 ODN132:ODN151 NTR132:NTR151 NJV132:NJV151 MZZ132:MZZ151 MQD132:MQD151 MGH132:MGH151 LWL132:LWL151 LMP132:LMP151 LCT132:LCT151 KSX132:KSX151 KJB132:KJB151 JZF132:JZF151 JPJ132:JPJ151 JFN132:JFN151 IVR132:IVR151 ILV132:ILV151 IBZ132:IBZ151 HSD132:HSD151 HIH132:HIH151 GYL132:GYL151 GOP132:GOP151 GET132:GET151 FUX132:FUX151 FLB132:FLB151 FBF132:FBF151 ERJ132:ERJ151 EHN132:EHN151 DXR132:DXR151 DNV132:DNV151 DDZ132:DDZ151 CUD132:CUD151 CKH132:CKH151 CAL132:CAL151 BQP132:BQP151 BGT132:BGT151 AWX132:AWX151 ANB132:ANB151 ADF132:ADF151 TJ132:TJ151 KJD38:KJD54 WMF38:WMF54 JP38:JP54 WCJ38:WCJ54 JZH38:JZH54 VSN38:VSN54 DXT38:DXT54 VIR38:VIR54 JPL38:JPL54 UYV38:UYV54 AWZ38:AWZ54 UOZ38:UOZ54 JFP38:JFP54 UFD38:UFD54 DNX38:DNX54 TVH38:TVH54 IVT38:IVT54 TLL38:TLL54 WWB38:WWB54 TBP38:TBP54 ILX38:ILX54 SRT38:SRT54 DEB38:DEB54 SHX38:SHX54 ICB38:ICB54 RYB38:RYB54 AND38:AND54 ROF38:ROF54 HSF38:HSF54 REJ38:REJ54 CUF38:CUF54 QUN38:QUN54 HIJ38:HIJ54 QKR38:QKR54 QAV38:QAV54 GYN38:GYN54 PQZ38:PQZ54 CKJ38:CKJ54 PHD38:PHD54 GOR38:GOR54 OXH38:OXH54 ADH38:ADH54 ONL38:ONL54 GEV38:GEV54 ODP38:ODP54 CAN38:CAN54 NTT38:NTT54 FUZ38:FUZ54 NJX38:NJX54 EHP38:EHP54 NAB38:NAB54 FLD38:FLD54 MQF38:MQF54 BQR38:BQR54 MGJ38:MGJ54 FBH38:FBH54 LWN38:LWN54 TL38:TL54 LMR38:LMR54 ERL38:ERL54 LCV38:LCV54 BGV38:BGV54 KSZ38:KSZ54 R11:R387"/>
    <dataValidation allowBlank="1" showInputMessage="1" showErrorMessage="1" promptTitle="Unit Price (not random goods)" prompt="What was the price per unit of the products tested? " sqref="JX132:JX151 WWJ132:WWJ151 TT132:TT151 WMN132:WMN151 WCR132:WCR151 VSV132:VSV151 VIZ132:VIZ151 UZD132:UZD151 UPH132:UPH151 UFL132:UFL151 TVP132:TVP151 TLT132:TLT151 TBX132:TBX151 SSB132:SSB151 SIF132:SIF151 RYJ132:RYJ151 RON132:RON151 RER132:RER151 QUV132:QUV151 QKZ132:QKZ151 QBD132:QBD151 PRH132:PRH151 PHL132:PHL151 OXP132:OXP151 ONT132:ONT151 ODX132:ODX151 NUB132:NUB151 NKF132:NKF151 NAJ132:NAJ151 MQN132:MQN151 MGR132:MGR151 LWV132:LWV151 LMZ132:LMZ151 LDD132:LDD151 KTH132:KTH151 KJL132:KJL151 JZP132:JZP151 JPT132:JPT151 JFX132:JFX151 IWB132:IWB151 IMF132:IMF151 ICJ132:ICJ151 HSN132:HSN151 HIR132:HIR151 GYV132:GYV151 GOZ132:GOZ151 GFD132:GFD151 FVH132:FVH151 FLL132:FLL151 FBP132:FBP151 ERT132:ERT151 EHX132:EHX151 DYB132:DYB151 DOF132:DOF151 DEJ132:DEJ151 CUN132:CUN151 CKR132:CKR151 CAV132:CAV151 BQZ132:BQZ151 BHD132:BHD151 AXH132:AXH151 ANL132:ANL151 ADP132:ADP151 AB139:AB140 AB132:AB135 AB144:AB170 AB212:AB213 AB174:AB177 AB181:AB182 AB186:AB187 AB191:AB192 AB196:AB197 AB202:AB204 AB208 AB215:AB387 JPV38:JPV54 VSX38:VSX54 VJB38:VJB54 JFZ38:JFZ54 UZF38:UZF54 DEL38:DEL54 UPJ38:UPJ54 IWD38:IWD54 UFN38:UFN54 ADR38:ADR54 TVR38:TVR54 IMH38:IMH54 TLV38:TLV54 CUP38:CUP54 TBZ38:TBZ54 ICL38:ICL54 SSD38:SSD54 WMP38:WMP54 SIH38:SIH54 HSP38:HSP54 RYL38:RYL54 CKT38:CKT54 ROP38:ROP54 HIT38:HIT54 RET38:RET54 TV38:TV54 QUX38:QUX54 GYX38:GYX54 QLB38:QLB54 CAX38:CAX54 QBF38:QBF54 GPB38:GPB54 PRJ38:PRJ54 WCT38:WCT54 PHN38:PHN54 GFF38:GFF54 OXR38:OXR54 BRB38:BRB54 ONV38:ONV54 FVJ38:FVJ54 ODZ38:ODZ54 JZ38:JZ54 NUD38:NUD54 FLN38:FLN54 NKH38:NKH54 BHF38:BHF54 NAL38:NAL54 FBR38:FBR54 MQP38:MQP54 DOH38:DOH54 MGT38:MGT54 ERV38:ERV54 LWX38:LWX54 AXJ38:AXJ54 LNB38:LNB54 EHZ38:EHZ54 LDF38:LDF54 WWL38:WWL54 KTJ38:KTJ54 DYD38:DYD54 KJN38:KJN54 ANN38:ANN54 JZR38:JZR54 AB17:AB128"/>
    <dataValidation allowBlank="1" showInputMessage="1" showErrorMessage="1" promptTitle="Insert/Delete lines" prompt="Please insert/delete lines here if you need more lines or if lines were not all used!" sqref="AN229:XFD229"/>
    <dataValidation allowBlank="1" showInputMessage="1" showErrorMessage="1" promptTitle="Calulate automatically" prompt="Please do not change the calculation!!!!!" sqref="WWK132:WWK151 WMO132:WMO151 WCS132:WCS151 VSW132:VSW151 VJA132:VJA151 UZE132:UZE151 UPI132:UPI151 UFM132:UFM151 TVQ132:TVQ151 TLU132:TLU151 TBY132:TBY151 SSC132:SSC151 SIG132:SIG151 RYK132:RYK151 ROO132:ROO151 RES132:RES151 QUW132:QUW151 QLA132:QLA151 QBE132:QBE151 PRI132:PRI151 PHM132:PHM151 OXQ132:OXQ151 ONU132:ONU151 ODY132:ODY151 NUC132:NUC151 NKG132:NKG151 NAK132:NAK151 MQO132:MQO151 MGS132:MGS151 LWW132:LWW151 LNA132:LNA151 LDE132:LDE151 KTI132:KTI151 KJM132:KJM151 JZQ132:JZQ151 JPU132:JPU151 JFY132:JFY151 IWC132:IWC151 IMG132:IMG151 ICK132:ICK151 HSO132:HSO151 HIS132:HIS151 GYW132:GYW151 GPA132:GPA151 GFE132:GFE151 FVI132:FVI151 FLM132:FLM151 FBQ132:FBQ151 ERU132:ERU151 EHY132:EHY151 DYC132:DYC151 DOG132:DOG151 DEK132:DEK151 CUO132:CUO151 CKS132:CKS151 CAW132:CAW151 BRA132:BRA151 BHE132:BHE151 AXI132:AXI151 ANM132:ANM151 ADQ132:ADQ151 TU132:TU151 JY132:JY151 VSY38:VSY54 JPW38:JPW54 VJC38:VJC54 DOI38:DOI54 UZG38:UZG54 JGA38:JGA54 UPK38:UPK54 ANO38:ANO54 UFO38:UFO54 IWE38:IWE54 TVS38:TVS54 DEM38:DEM54 TLW38:TLW54 IMI38:IMI54 TCA38:TCA54 WWM38:WWM54 SSE38:SSE54 ICM38:ICM54 SII38:SII54 CUQ38:CUQ54 RYM38:RYM54 HSQ38:HSQ54 ROQ38:ROQ54 ADS38:ADS54 REU38:REU54 HIU38:HIU54 QUY38:QUY54 CKU38:CKU54 QLC38:QLC54 GYY38:GYY54 QBG38:QBG54 WCU38:WCU54 PRK38:PRK54 GPC38:GPC54 PHO38:PHO54 CAY38:CAY54 OXS38:OXS54 GFG38:GFG54 ONW38:ONW54 TW38:TW54 OEA38:OEA54 FVK38:FVK54 NUE38:NUE54 BRC38:BRC54 NKI38:NKI54 FLO38:FLO54 NAM38:NAM54 WMQ38:WMQ54 MQQ38:MQQ54 FBS38:FBS54 MGU38:MGU54 BHG38:BHG54 LWY38:LWY54 ERW38:ERW54 LNC38:LNC54 KA38:KA54 LDG38:LDG54 EIA38:EIA54 KTK38:KTK54 AXK38:AXK54 KJO38:KJO54 DYE38:DYE54 JZS38:JZS54 AC11:AC387"/>
    <dataValidation allowBlank="1" showInputMessage="1" showErrorMessage="1" promptTitle="Inspection lot less than 100" prompt="Only indicate number of items tested here if evaluation was done based on the average, but the total sample size was less than 100 units where the total number of samples were weighed i.e bread when tested at retail level." sqref="WVU132:WVU151 WLY132:WLY151 WCC132:WCC151 VSG132:VSG151 VIK132:VIK151 UYO132:UYO151 UOS132:UOS151 UEW132:UEW151 TVA132:TVA151 TLE132:TLE151 TBI132:TBI151 SRM132:SRM151 SHQ132:SHQ151 RXU132:RXU151 RNY132:RNY151 REC132:REC151 QUG132:QUG151 QKK132:QKK151 QAO132:QAO151 PQS132:PQS151 PGW132:PGW151 OXA132:OXA151 ONE132:ONE151 ODI132:ODI151 NTM132:NTM151 NJQ132:NJQ151 MZU132:MZU151 MPY132:MPY151 MGC132:MGC151 LWG132:LWG151 LMK132:LMK151 LCO132:LCO151 KSS132:KSS151 KIW132:KIW151 JZA132:JZA151 JPE132:JPE151 JFI132:JFI151 IVM132:IVM151 ILQ132:ILQ151 IBU132:IBU151 HRY132:HRY151 HIC132:HIC151 GYG132:GYG151 GOK132:GOK151 GEO132:GEO151 FUS132:FUS151 FKW132:FKW151 FBA132:FBA151 ERE132:ERE151 EHI132:EHI151 DXM132:DXM151 DNQ132:DNQ151 DDU132:DDU151 CTY132:CTY151 CKC132:CKC151 CAG132:CAG151 BQK132:BQK151 BGO132:BGO151 AWS132:AWS151 AMW132:AMW151 ADA132:ADA151 TE132:TE151 JI132:JI151 JZC38:JZC54 WCE38:WCE54 WVW38:WVW54 VSI38:VSI54 JPG38:JPG54 VIM38:VIM54 DNS38:DNS54 UYQ38:UYQ54 JFK38:JFK54 UOU38:UOU54 AMY38:AMY54 UEY38:UEY54 IVO38:IVO54 TVC38:TVC54 DDW38:DDW54 TLG38:TLG54 ILS38:ILS54 TBK38:TBK54 WMA38:WMA54 SRO38:SRO54 IBW38:IBW54 SHS38:SHS54 CUA38:CUA54 RXW38:RXW54 HSA38:HSA54 ROA38:ROA54 ADC38:ADC54 REE38:REE54 HIE38:HIE54 QUI38:QUI54 CKE38:CKE54 QKM38:QKM54 GYI38:GYI54 QAQ38:QAQ54 PQU38:PQU54 GOM38:GOM54 PGY38:PGY54 CAI38:CAI54 OXC38:OXC54 GEQ38:GEQ54 ONG38:ONG54 TG38:TG54 ODK38:ODK54 FUU38:FUU54 NTO38:NTO54 BQM38:BQM54 NJS38:NJS54 FKY38:FKY54 MZW38:MZW54 DXO38:DXO54 MQA38:MQA54 FBC38:FBC54 MGE38:MGE54 BGQ38:BGQ54 LWI38:LWI54 ERG38:ERG54 LMM38:LMM54 JK38:JK54 LCQ38:LCQ54 EHK38:EHK54 KSU38:KSU54 AWU38:AWU54 KIY38:KIY54 M11:M387"/>
    <dataValidation allowBlank="1" showInputMessage="1" showErrorMessage="1" promptTitle="Actual Quantity" prompt="Insert actual average quantity or actual total quantity in case of random packages" sqref="WWC132:WWC151 JQ132:JQ151 WMG132:WMG151 WCK132:WCK151 VSO132:VSO151 VIS132:VIS151 UYW132:UYW151 UPA132:UPA151 UFE132:UFE151 TVI132:TVI151 TLM132:TLM151 TBQ132:TBQ151 SRU132:SRU151 SHY132:SHY151 RYC132:RYC151 ROG132:ROG151 REK132:REK151 QUO132:QUO151 QKS132:QKS151 QAW132:QAW151 PRA132:PRA151 PHE132:PHE151 OXI132:OXI151 ONM132:ONM151 ODQ132:ODQ151 NTU132:NTU151 NJY132:NJY151 NAC132:NAC151 MQG132:MQG151 MGK132:MGK151 LWO132:LWO151 LMS132:LMS151 LCW132:LCW151 KTA132:KTA151 KJE132:KJE151 JZI132:JZI151 JPM132:JPM151 JFQ132:JFQ151 IVU132:IVU151 ILY132:ILY151 ICC132:ICC151 HSG132:HSG151 HIK132:HIK151 GYO132:GYO151 GOS132:GOS151 GEW132:GEW151 FVA132:FVA151 FLE132:FLE151 FBI132:FBI151 ERM132:ERM151 EHQ132:EHQ151 DXU132:DXU151 DNY132:DNY151 DEC132:DEC151 CUG132:CUG151 CKK132:CKK151 CAO132:CAO151 BQS132:BQS151 BGW132:BGW151 AXA132:AXA151 ANE132:ANE151 ADI132:ADI151 TM132:TM151 U11:U41 U233:U387 KJG38:KJG54 WMI38:WMI54 JS38:JS54 WCM38:WCM54 JZK38:JZK54 VSQ38:VSQ54 DXW38:DXW54 VIU38:VIU54 JPO38:JPO54 UYY38:UYY54 AXC38:AXC54 UPC38:UPC54 JFS38:JFS54 UFG38:UFG54 DOA38:DOA54 TVK38:TVK54 IVW38:IVW54 TLO38:TLO54 WWE38:WWE54 TBS38:TBS54 IMA38:IMA54 SRW38:SRW54 DEE38:DEE54 SIA38:SIA54 ICE38:ICE54 RYE38:RYE54 ANG38:ANG54 ROI38:ROI54 HSI38:HSI54 REM38:REM54 CUI38:CUI54 QUQ38:QUQ54 HIM38:HIM54 QKU38:QKU54 QAY38:QAY54 GYQ38:GYQ54 PRC38:PRC54 CKM38:CKM54 PHG38:PHG54 GOU38:GOU54 OXK38:OXK54 ADK38:ADK54 ONO38:ONO54 GEY38:GEY54 ODS38:ODS54 CAQ38:CAQ54 NTW38:NTW54 FVC38:FVC54 NKA38:NKA54 EHS38:EHS54 NAE38:NAE54 FLG38:FLG54 MQI38:MQI54 BQU38:BQU54 MGM38:MGM54 FBK38:FBK54 LWQ38:LWQ54 TO38:TO54 LMU38:LMU54 ERO38:ERO54 LCY38:LCY54 BGY38:BGY54 KTC38:KTC54 U43:U218"/>
    <dataValidation allowBlank="1" showInputMessage="1" showErrorMessage="1" promptTitle="Declared Quantity" prompt="Insert quantity as stated on package or total quantity in case random packages have been measured" sqref="WWA132:WWA151 JO132:JO151 WME132:WME151 WCI132:WCI151 VSM132:VSM151 VIQ132:VIQ151 UYU132:UYU151 UOY132:UOY151 UFC132:UFC151 TVG132:TVG151 TLK132:TLK151 TBO132:TBO151 SRS132:SRS151 SHW132:SHW151 RYA132:RYA151 ROE132:ROE151 REI132:REI151 QUM132:QUM151 QKQ132:QKQ151 QAU132:QAU151 PQY132:PQY151 PHC132:PHC151 OXG132:OXG151 ONK132:ONK151 ODO132:ODO151 NTS132:NTS151 NJW132:NJW151 NAA132:NAA151 MQE132:MQE151 MGI132:MGI151 LWM132:LWM151 LMQ132:LMQ151 LCU132:LCU151 KSY132:KSY151 KJC132:KJC151 JZG132:JZG151 JPK132:JPK151 JFO132:JFO151 IVS132:IVS151 ILW132:ILW151 ICA132:ICA151 HSE132:HSE151 HII132:HII151 GYM132:GYM151 GOQ132:GOQ151 GEU132:GEU151 FUY132:FUY151 FLC132:FLC151 FBG132:FBG151 ERK132:ERK151 EHO132:EHO151 DXS132:DXS151 DNW132:DNW151 DEA132:DEA151 CUE132:CUE151 CKI132:CKI151 CAM132:CAM151 BQQ132:BQQ151 BGU132:BGU151 AWY132:AWY151 ANC132:ANC151 ADG132:ADG151 TK132:TK151 S11:S41 U219:U232 S233:S387 KJE38:KJE54 WMG38:WMG54 JQ38:JQ54 WCK38:WCK54 JZI38:JZI54 VSO38:VSO54 DXU38:DXU54 VIS38:VIS54 JPM38:JPM54 UYW38:UYW54 AXA38:AXA54 UPA38:UPA54 JFQ38:JFQ54 UFE38:UFE54 DNY38:DNY54 TVI38:TVI54 IVU38:IVU54 TLM38:TLM54 WWC38:WWC54 TBQ38:TBQ54 ILY38:ILY54 SRU38:SRU54 DEC38:DEC54 SHY38:SHY54 ICC38:ICC54 RYC38:RYC54 ANE38:ANE54 ROG38:ROG54 HSG38:HSG54 REK38:REK54 CUG38:CUG54 QUO38:QUO54 HIK38:HIK54 QKS38:QKS54 QAW38:QAW54 GYO38:GYO54 PRA38:PRA54 CKK38:CKK54 PHE38:PHE54 GOS38:GOS54 OXI38:OXI54 ADI38:ADI54 ONM38:ONM54 GEW38:GEW54 ODQ38:ODQ54 CAO38:CAO54 NTU38:NTU54 FVA38:FVA54 NJY38:NJY54 EHQ38:EHQ54 NAC38:NAC54 FLE38:FLE54 MQG38:MQG54 BQS38:BQS54 MGK38:MGK54 FBI38:FBI54 LWO38:LWO54 TM38:TM54 LMS38:LMS54 ERM38:ERM54 LCW38:LCW54 BGW38:BGW54 KTA38:KTA54 S43:S218"/>
    <dataValidation allowBlank="1" showInputMessage="1" showErrorMessage="1" promptTitle="Price per kilogram" prompt="Random packages - What was price per kilogram?" sqref="TVQ49:TVQ54 HSO49:HSO54 TLU49:TLU54 BRA49:BRA54 TBY49:TBY54 HIS49:HIS54 SSC49:SSC54 WMO49:WMO54 SIG49:SIG54 GYW49:GYW54 RYK49:RYK54 BHE49:BHE54 ROO49:ROO54 GPA49:GPA54 RES49:RES54 UZE49:UZE54 QUW49:QUW54 GFE49:GFE54 QLA49:QLA54 AXI49:AXI54 QBE49:QBE54 FVI49:FVI54 PRI49:PRI54 WCS49:WCS54 PHM49:PHM54 FLM49:FLM54 OXQ49:OXQ54 ANM49:ANM54 ONU49:ONU54 FBQ49:FBQ54 ODY49:ODY54 UPI49:UPI54 NUC49:NUC54 ERU49:ERU54 NKG49:NKG54 ADQ49:ADQ54 NAK49:NAK54 EHY49:EHY54 MQO49:MQO54 VSW49:VSW54 MGS49:MGS54 DYC49:DYC54 LWW49:LWW54 TU49:TU54 LNA49:LNA54 DOG49:DOG54 LDE49:LDE54 CAW49:CAW54 KTI49:KTI54 DEK49:DEK54 KJM49:KJM54 JY49:JY54 JZQ49:JZQ54 CUO49:CUO54 JPU49:JPU54 VJA49:VJA54 JFY49:JFY54 CKS49:CKS54 IWC49:IWC54 WWK49:WWK54 IMG49:IMG54 UFM49:UFM54 ADO132:ADO151 TS132:TS151 JW132:JW151 WWI132:WWI151 ICK49:ICK54 WMM132:WMM151 WCQ132:WCQ151 VSU132:VSU151 VIY132:VIY151 UZC132:UZC151 UPG132:UPG151 UFK132:UFK151 TVO132:TVO151 TLS132:TLS151 TBW132:TBW151 SSA132:SSA151 SIE132:SIE151 RYI132:RYI151 ROM132:ROM151 REQ132:REQ151 QUU132:QUU151 QKY132:QKY151 QBC132:QBC151 PRG132:PRG151 PHK132:PHK151 OXO132:OXO151 ONS132:ONS151 ODW132:ODW151 NUA132:NUA151 NKE132:NKE151 NAI132:NAI151 MQM132:MQM151 MGQ132:MGQ151 LWU132:LWU151 LMY132:LMY151 LDC132:LDC151 KTG132:KTG151 KJK132:KJK151 JZO132:JZO151 JPS132:JPS151 JFW132:JFW151 IWA132:IWA151 IME132:IME151 ICI132:ICI151 HSM132:HSM151 HIQ132:HIQ151 GYU132:GYU151 GOY132:GOY151 GFC132:GFC151 FVG132:FVG151 FLK132:FLK151 FBO132:FBO151 ERS132:ERS151 EHW132:EHW151 DYA132:DYA151 DOE132:DOE151 DEI132:DEI151 CUM132:CUM151 CKQ132:CKQ151 CAU132:CAU151 BQY132:BQY151 BHC132:BHC151 AXG132:AXG151 ANK132:ANK151 AB11:AB16 AB141:AB143 AB129:AB131 AB136:AB138 AB214 AB171:AB173 AB178:AB180 AB183:AB185 AB193:AB195 AB188:AB190 AB198:AB201 AB209:AB211 AB205:AB207 WWK38:WWK47 WMO38:WMO47 WCS38:WCS47 VSW38:VSW47 VJA38:VJA47 UZE38:UZE47 UPI38:UPI47 UFM38:UFM47 TVQ38:TVQ47 TLU38:TLU47 TBY38:TBY47 SSC38:SSC47 SIG38:SIG47 RYK38:RYK47 ROO38:ROO47 RES38:RES47 QUW38:QUW47 QLA38:QLA47 QBE38:QBE47 PRI38:PRI47 PHM38:PHM47 OXQ38:OXQ47 ONU38:ONU47 ODY38:ODY47 NUC38:NUC47 NKG38:NKG47 NAK38:NAK47 MQO38:MQO47 MGS38:MGS47 LWW38:LWW47 LNA38:LNA47 LDE38:LDE47 KTI38:KTI47 KJM38:KJM47 JZQ38:JZQ47 JPU38:JPU47 JFY38:JFY47 IWC38:IWC47 IMG38:IMG47 ICK38:ICK47 HSO38:HSO47 HIS38:HIS47 GYW38:GYW47 GPA38:GPA47 GFE38:GFE47 FVI38:FVI47 FLM38:FLM47 FBQ38:FBQ47 ERU38:ERU47 EHY38:EHY47 DYC38:DYC47 DOG38:DOG47 DEK38:DEK47 CUO38:CUO47 CKS38:CKS47 CAW38:CAW47 BRA38:BRA47 BHE38:BHE47 AXI38:AXI47 ANM38:ANM47 ADQ38:ADQ47 TU38:TU47 JY38:JY47 AA11:AA387"/>
    <dataValidation allowBlank="1" showInputMessage="1" showErrorMessage="1" promptTitle="4.3(Random) or 4.5(Average)?" prompt="Based on what requirement was evaluation done?" sqref="WVT132:WVT151 WLX132:WLX151 WCB132:WCB151 VSF132:VSF151 VIJ132:VIJ151 UYN132:UYN151 UOR132:UOR151 UEV132:UEV151 TUZ132:TUZ151 TLD132:TLD151 TBH132:TBH151 SRL132:SRL151 SHP132:SHP151 RXT132:RXT151 RNX132:RNX151 REB132:REB151 QUF132:QUF151 QKJ132:QKJ151 QAN132:QAN151 PQR132:PQR151 PGV132:PGV151 OWZ132:OWZ151 OND132:OND151 ODH132:ODH151 NTL132:NTL151 NJP132:NJP151 MZT132:MZT151 MPX132:MPX151 MGB132:MGB151 LWF132:LWF151 LMJ132:LMJ151 LCN132:LCN151 KSR132:KSR151 KIV132:KIV151 JYZ132:JYZ151 JPD132:JPD151 JFH132:JFH151 IVL132:IVL151 ILP132:ILP151 IBT132:IBT151 HRX132:HRX151 HIB132:HIB151 GYF132:GYF151 GOJ132:GOJ151 GEN132:GEN151 FUR132:FUR151 FKV132:FKV151 FAZ132:FAZ151 ERD132:ERD151 EHH132:EHH151 DXL132:DXL151 DNP132:DNP151 DDT132:DDT151 CTX132:CTX151 CKB132:CKB151 CAF132:CAF151 BQJ132:BQJ151 BGN132:BGN151 AWR132:AWR151 AMV132:AMV151 ACZ132:ACZ151 TD132:TD151 JH132:JH151 KIX38:KIX54 WLZ38:WLZ54 JJ38:JJ54 WCD38:WCD54 JZB38:JZB54 VSH38:VSH54 DXN38:DXN54 VIL38:VIL54 JPF38:JPF54 UYP38:UYP54 AWT38:AWT54 UOT38:UOT54 JFJ38:JFJ54 UEX38:UEX54 DNR38:DNR54 TVB38:TVB54 IVN38:IVN54 TLF38:TLF54 WVV38:WVV54 TBJ38:TBJ54 ILR38:ILR54 SRN38:SRN54 DDV38:DDV54 SHR38:SHR54 IBV38:IBV54 RXV38:RXV54 AMX38:AMX54 RNZ38:RNZ54 HRZ38:HRZ54 RED38:RED54 CTZ38:CTZ54 QUH38:QUH54 HID38:HID54 QKL38:QKL54 QAP38:QAP54 GYH38:GYH54 PQT38:PQT54 CKD38:CKD54 PGX38:PGX54 GOL38:GOL54 OXB38:OXB54 ADB38:ADB54 ONF38:ONF54 GEP38:GEP54 ODJ38:ODJ54 CAH38:CAH54 NTN38:NTN54 FUT38:FUT54 NJR38:NJR54 EHJ38:EHJ54 MZV38:MZV54 FKX38:FKX54 MPZ38:MPZ54 BQL38:BQL54 MGD38:MGD54 FBB38:FBB54 LWH38:LWH54 TF38:TF54 LML38:LML54 ERF38:ERF54 LCP38:LCP54 BGP38:BGP54 KST38:KST54 L11:L387"/>
    <dataValidation allowBlank="1" showInputMessage="1" showErrorMessage="1" promptTitle="Scale(s) at business suitable?" prompt="Was the scales used to measure goods suitable? Yes = 1; No = 0" sqref="JU132:JU151 WWG132:WWG151 WMK132:WMK151 WCO132:WCO151 VSS132:VSS151 VIW132:VIW151 UZA132:UZA151 UPE132:UPE151 UFI132:UFI151 TVM132:TVM151 TLQ132:TLQ151 TBU132:TBU151 SRY132:SRY151 SIC132:SIC151 RYG132:RYG151 ROK132:ROK151 REO132:REO151 QUS132:QUS151 QKW132:QKW151 QBA132:QBA151 PRE132:PRE151 PHI132:PHI151 OXM132:OXM151 ONQ132:ONQ151 ODU132:ODU151 NTY132:NTY151 NKC132:NKC151 NAG132:NAG151 MQK132:MQK151 MGO132:MGO151 LWS132:LWS151 LMW132:LMW151 LDA132:LDA151 KTE132:KTE151 KJI132:KJI151 JZM132:JZM151 JPQ132:JPQ151 JFU132:JFU151 IVY132:IVY151 IMC132:IMC151 ICG132:ICG151 HSK132:HSK151 HIO132:HIO151 GYS132:GYS151 GOW132:GOW151 GFA132:GFA151 FVE132:FVE151 FLI132:FLI151 FBM132:FBM151 ERQ132:ERQ151 EHU132:EHU151 DXY132:DXY151 DOC132:DOC151 DEG132:DEG151 CUK132:CUK151 CKO132:CKO151 CAS132:CAS151 BQW132:BQW151 BHA132:BHA151 AXE132:AXE151 ANI132:ANI151 ADM132:ADM151 TQ132:TQ151 KJK38:KJK54 WMM38:WMM54 JW38:JW54 WCQ38:WCQ54 JZO38:JZO54 VSU38:VSU54 DYA38:DYA54 VIY38:VIY54 JPS38:JPS54 UZC38:UZC54 AXG38:AXG54 UPG38:UPG54 JFW38:JFW54 UFK38:UFK54 DOE38:DOE54 TVO38:TVO54 IWA38:IWA54 TLS38:TLS54 WWI38:WWI54 TBW38:TBW54 IME38:IME54 SSA38:SSA54 DEI38:DEI54 SIE38:SIE54 ICI38:ICI54 RYI38:RYI54 ANK38:ANK54 ROM38:ROM54 HSM38:HSM54 REQ38:REQ54 CUM38:CUM54 QUU38:QUU54 HIQ38:HIQ54 QKY38:QKY54 QBC38:QBC54 GYU38:GYU54 PRG38:PRG54 CKQ38:CKQ54 PHK38:PHK54 GOY38:GOY54 OXO38:OXO54 ADO38:ADO54 ONS38:ONS54 GFC38:GFC54 ODW38:ODW54 CAU38:CAU54 NUA38:NUA54 FVG38:FVG54 NKE38:NKE54 EHW38:EHW54 NAI38:NAI54 FLK38:FLK54 MQM38:MQM54 BQY38:BQY54 MGQ38:MGQ54 FBO38:FBO54 LWU38:LWU54 TS38:TS54 LMY38:LMY54 ERS38:ERS54 LDC38:LDC54 BHC38:BHC54 KTG38:KTG54 Y11:Y387"/>
    <dataValidation allowBlank="1" showInputMessage="1" showErrorMessage="1" promptTitle="Taring" prompt="Is Shortage if found as a result of taring? ( Yes = 1, No = 0)" sqref="JY48 TU48 ADQ48 ANM48 AXI48 BHE48 BRA48 CAW48 CKS48 CUO48 DEK48 DOG48 DYC48 EHY48 ERU48 FBQ48 FLM48 FVI48 GFE48 GPA48 GYW48 HIS48 HSO48 ICK48 IMG48 IWC48 JFY48 JPU48 JZQ48 KJM48 KTI48 LDE48 LNA48 LWW48 MGS48 MQO48 NAK48 NKG48 NUC48 ODY48 ONU48 OXQ48 PHM48 PRI48 QBE48 QLA48 QUW48 RES48 ROO48 RYK48 SIG48 SSC48 TBY48 TLU48 TVQ48 UFM48 UPI48 UZE48 VJA48 VSW48 WCS48 WMO48 WWK48 WWH132:WWH151 WML132:WML151 WCP132:WCP151 VST132:VST151 VIX132:VIX151 UZB132:UZB151 UPF132:UPF151 UFJ132:UFJ151 TVN132:TVN151 TLR132:TLR151 TBV132:TBV151 SRZ132:SRZ151 SID132:SID151 RYH132:RYH151 ROL132:ROL151 REP132:REP151 QUT132:QUT151 QKX132:QKX151 QBB132:QBB151 PRF132:PRF151 PHJ132:PHJ151 OXN132:OXN151 ONR132:ONR151 ODV132:ODV151 NTZ132:NTZ151 NKD132:NKD151 NAH132:NAH151 MQL132:MQL151 MGP132:MGP151 LWT132:LWT151 LMX132:LMX151 LDB132:LDB151 KTF132:KTF151 KJJ132:KJJ151 JZN132:JZN151 JPR132:JPR151 JFV132:JFV151 IVZ132:IVZ151 IMD132:IMD151 ICH132:ICH151 HSL132:HSL151 HIP132:HIP151 GYT132:GYT151 GOX132:GOX151 GFB132:GFB151 FVF132:FVF151 FLJ132:FLJ151 FBN132:FBN151 ERR132:ERR151 EHV132:EHV151 DXZ132:DXZ151 DOD132:DOD151 DEH132:DEH151 CUL132:CUL151 CKP132:CKP151 CAT132:CAT151 BQX132:BQX151 BHB132:BHB151 AXF132:AXF151 ANJ132:ANJ151 ADN132:ADN151 TR132:TR151 JV132:JV151 JZP38:JZP54 WCR38:WCR54 WWJ38:WWJ54 VSV38:VSV54 JPT38:JPT54 VIZ38:VIZ54 DOF38:DOF54 UZD38:UZD54 JFX38:JFX54 UPH38:UPH54 ANL38:ANL54 UFL38:UFL54 IWB38:IWB54 TVP38:TVP54 DEJ38:DEJ54 TLT38:TLT54 IMF38:IMF54 TBX38:TBX54 WMN38:WMN54 SSB38:SSB54 ICJ38:ICJ54 SIF38:SIF54 CUN38:CUN54 RYJ38:RYJ54 HSN38:HSN54 RON38:RON54 ADP38:ADP54 RER38:RER54 HIR38:HIR54 QUV38:QUV54 CKR38:CKR54 QKZ38:QKZ54 GYV38:GYV54 QBD38:QBD54 PRH38:PRH54 GOZ38:GOZ54 PHL38:PHL54 CAV38:CAV54 OXP38:OXP54 GFD38:GFD54 ONT38:ONT54 TT38:TT54 ODX38:ODX54 FVH38:FVH54 NUB38:NUB54 BQZ38:BQZ54 NKF38:NKF54 FLL38:FLL54 NAJ38:NAJ54 DYB38:DYB54 MQN38:MQN54 FBP38:FBP54 MGR38:MGR54 BHD38:BHD54 LWV38:LWV54 ERT38:ERT54 LMZ38:LMZ54 JX38:JX54 LDD38:LDD54 EHX38:EHX54 KTH38:KTH54 AXH38:AXH54 KJL38:KJL54 Z11:Z387"/>
    <dataValidation type="whole" allowBlank="1" showInputMessage="1" showErrorMessage="1" promptTitle="Insert/Delete lines" prompt="Please insert/delete lines here if you need more lines or if lines were not all used!" sqref="WMB38 WVX38 JL38 TH38 ADD38 AMZ38 AWV38 BGR38 BQN38 CAJ38 CKF38 CUB38 DDX38 DNT38 DXP38 EHL38 ERH38 FBD38 FKZ38 FUV38 GER38 GON38 GYJ38 HIF38 HSB38 IBX38 ILT38 IVP38 JFL38 JPH38 JZD38 KIZ38 KSV38 LCR38 LMN38 LWJ38 MGF38 MQB38 MZX38 NJT38 NTP38 ODL38 ONH38 OXD38 PGZ38 PQV38 QAR38 QKN38 QUJ38 REF38 ROB38 RXX38 SHT38 SRP38 TBL38 TLH38 TVD38 UEZ38 UOV38 UYR38 VIN38 VSJ38 WCF38 VIL132 VSH132 WCD132 WLZ132 WVV132 N146 JJ132 TF132 ADB132 AMX132 AWT132 BGP132 BQL132 CAH132 CKD132 CTZ132 DDV132 DNR132 DXN132 EHJ132 ERF132 FBB132 FKX132 FUT132 GEP132 GOL132 GYH132 HID132 HRZ132 IBV132 ILR132 IVN132 JFJ132 JPF132 JZB132 KIX132 KST132 LCP132 LML132 LWH132 MGD132 MPZ132 MZV132 NJR132 NTN132 ODJ132 ONF132 OXB132 PGX132 PQT132 QAP132 QKL132 QUH132 RED132 RNZ132 RXV132 SHR132 SRN132 TBJ132 TLF132 TVB132 UEX132 UOT132 UYP132 N11 N60 N169 N379 N382 N385 N93 N127 N215 N219 N283 N288 N290 N295 N340 N371">
      <formula1>1</formula1>
      <formula2>10</formula2>
    </dataValidation>
    <dataValidation allowBlank="1" showInputMessage="1" showErrorMessage="1" promptTitle="DO NOT FORGET!!!!" prompt="Please DO NOT OMIT to fill in required information!!!!_x000a__x000a_How many units were in stock on date of inspection?" sqref="WWN132:WWN151 WMR132:WMR151 WCV132:WCV151 VSZ132:VSZ151 VJD132:VJD151 UZH132:UZH151 UPL132:UPL151 UFP132:UFP151 TVT132:TVT151 TLX132:TLX151 TCB132:TCB151 SSF132:SSF151 SIJ132:SIJ151 RYN132:RYN151 ROR132:ROR151 REV132:REV151 QUZ132:QUZ151 QLD132:QLD151 QBH132:QBH151 PRL132:PRL151 PHP132:PHP151 OXT132:OXT151 ONX132:ONX151 OEB132:OEB151 NUF132:NUF151 NKJ132:NKJ151 NAN132:NAN151 MQR132:MQR151 MGV132:MGV151 LWZ132:LWZ151 LND132:LND151 LDH132:LDH151 KTL132:KTL151 KJP132:KJP151 JZT132:JZT151 JPX132:JPX151 JGB132:JGB151 IWF132:IWF151 IMJ132:IMJ151 ICN132:ICN151 HSR132:HSR151 HIV132:HIV151 GYZ132:GYZ151 GPD132:GPD151 GFH132:GFH151 FVL132:FVL151 FLP132:FLP151 FBT132:FBT151 ERX132:ERX151 EIB132:EIB151 DYF132:DYF151 DOJ132:DOJ151 DEN132:DEN151 CUR132:CUR151 CKV132:CKV151 CAZ132:CAZ151 BRD132:BRD151 BHH132:BHH151 AXL132:AXL151 ANP132:ANP151 ADT132:ADT151 TX132:TX151 KB132:KB151 EID38:EID54 KJR38:KJR54 WMT38:WMT54 KD38:KD54 WCX38:WCX54 JZV38:JZV54 VTB38:VTB54 DYH38:DYH54 VJF38:VJF54 JPZ38:JPZ54 UZJ38:UZJ54 AXN38:AXN54 UPN38:UPN54 JGD38:JGD54 UFR38:UFR54 DOL38:DOL54 TVV38:TVV54 IWH38:IWH54 TLZ38:TLZ54 WWP38:WWP54 TCD38:TCD54 IML38:IML54 SSH38:SSH54 DEP38:DEP54 SIL38:SIL54 ICP38:ICP54 RYP38:RYP54 ANR38:ANR54 ROT38:ROT54 HST38:HST54 REX38:REX54 CUT38:CUT54 QVB38:QVB54 HIX38:HIX54 QLF38:QLF54 QBJ38:QBJ54 GZB38:GZB54 PRN38:PRN54 CKX38:CKX54 PHR38:PHR54 GPF38:GPF54 OXV38:OXV54 ADV38:ADV54 ONZ38:ONZ54 GFJ38:GFJ54 OED38:OED54 CBB38:CBB54 NUH38:NUH54 FVN38:FVN54 NKL38:NKL54 KTN38:KTN54 NAP38:NAP54 FLR38:FLR54 MQT38:MQT54 BRF38:BRF54 MGX38:MGX54 FBV38:FBV54 LXB38:LXB54 TZ38:TZ54 LNF38:LNF54 ERZ38:ERZ54 LDJ38:LDJ54 BHJ38:BHJ54 AF11:AF387"/>
    <dataValidation allowBlank="1" showInputMessage="1" showErrorMessage="1" promptTitle="DO NOT FORGET!!!!" prompt="Please DO NOT OMIT to fill in required information!!!!_x000a_What amount of product is produced per day?" sqref="WWM132:WWM151 WMQ132:WMQ151 WCU132:WCU151 VSY132:VSY151 VJC132:VJC151 UZG132:UZG151 UPK132:UPK151 UFO132:UFO151 TVS132:TVS151 TLW132:TLW151 TCA132:TCA151 SSE132:SSE151 SII132:SII151 RYM132:RYM151 ROQ132:ROQ151 REU132:REU151 QUY132:QUY151 QLC132:QLC151 QBG132:QBG151 PRK132:PRK151 PHO132:PHO151 OXS132:OXS151 ONW132:ONW151 OEA132:OEA151 NUE132:NUE151 NKI132:NKI151 NAM132:NAM151 MQQ132:MQQ151 MGU132:MGU151 LWY132:LWY151 LNC132:LNC151 LDG132:LDG151 KTK132:KTK151 KJO132:KJO151 JZS132:JZS151 JPW132:JPW151 JGA132:JGA151 IWE132:IWE151 IMI132:IMI151 ICM132:ICM151 HSQ132:HSQ151 HIU132:HIU151 GYY132:GYY151 GPC132:GPC151 GFG132:GFG151 FVK132:FVK151 FLO132:FLO151 FBS132:FBS151 ERW132:ERW151 EIA132:EIA151 DYE132:DYE151 DOI132:DOI151 DEM132:DEM151 CUQ132:CUQ151 CKU132:CKU151 CAY132:CAY151 BRC132:BRC151 BHG132:BHG151 AXK132:AXK151 ANO132:ANO151 ADS132:ADS151 TW132:TW151 KA132:KA151 EIC38:EIC54 KJQ38:KJQ54 WMS38:WMS54 KC38:KC54 WCW38:WCW54 JZU38:JZU54 VTA38:VTA54 DYG38:DYG54 VJE38:VJE54 JPY38:JPY54 UZI38:UZI54 AXM38:AXM54 UPM38:UPM54 JGC38:JGC54 UFQ38:UFQ54 DOK38:DOK54 TVU38:TVU54 IWG38:IWG54 TLY38:TLY54 WWO38:WWO54 TCC38:TCC54 IMK38:IMK54 SSG38:SSG54 DEO38:DEO54 SIK38:SIK54 ICO38:ICO54 RYO38:RYO54 ANQ38:ANQ54 ROS38:ROS54 HSS38:HSS54 REW38:REW54 CUS38:CUS54 QVA38:QVA54 HIW38:HIW54 QLE38:QLE54 QBI38:QBI54 GZA38:GZA54 PRM38:PRM54 CKW38:CKW54 PHQ38:PHQ54 GPE38:GPE54 OXU38:OXU54 ADU38:ADU54 ONY38:ONY54 GFI38:GFI54 OEC38:OEC54 CBA38:CBA54 NUG38:NUG54 FVM38:FVM54 NKK38:NKK54 KTM38:KTM54 NAO38:NAO54 FLQ38:FLQ54 MQS38:MQS54 BRE38:BRE54 MGW38:MGW54 FBU38:FBU54 LXA38:LXA54 TY38:TY54 LNE38:LNE54 ERY38:ERY54 LDI38:LDI54 BHI38:BHI54 AE11:AE387"/>
    <dataValidation allowBlank="1" showInputMessage="1" showErrorMessage="1" promptTitle="DO NOT FORGET!!!!" prompt="Please DO NOT OMIT to fill in required information!!!!_x000a__x000a_How many days per week is product packed?" sqref="WWL132:WWL151 WMP132:WMP151 WCT132:WCT151 VSX132:VSX151 VJB132:VJB151 UZF132:UZF151 UPJ132:UPJ151 UFN132:UFN151 TVR132:TVR151 TLV132:TLV151 TBZ132:TBZ151 SSD132:SSD151 SIH132:SIH151 RYL132:RYL151 ROP132:ROP151 RET132:RET151 QUX132:QUX151 QLB132:QLB151 QBF132:QBF151 PRJ132:PRJ151 PHN132:PHN151 OXR132:OXR151 ONV132:ONV151 ODZ132:ODZ151 NUD132:NUD151 NKH132:NKH151 NAL132:NAL151 MQP132:MQP151 MGT132:MGT151 LWX132:LWX151 LNB132:LNB151 LDF132:LDF151 KTJ132:KTJ151 KJN132:KJN151 JZR132:JZR151 JPV132:JPV151 JFZ132:JFZ151 IWD132:IWD151 IMH132:IMH151 ICL132:ICL151 HSP132:HSP151 HIT132:HIT151 GYX132:GYX151 GPB132:GPB151 GFF132:GFF151 FVJ132:FVJ151 FLN132:FLN151 FBR132:FBR151 ERV132:ERV151 EHZ132:EHZ151 DYD132:DYD151 DOH132:DOH151 DEL132:DEL151 CUP132:CUP151 CKT132:CKT151 CAX132:CAX151 BRB132:BRB151 BHF132:BHF151 AXJ132:AXJ151 ANN132:ANN151 ADR132:ADR151 TV132:TV151 JZ132:JZ151 EIB38:EIB54 KJP38:KJP54 WMR38:WMR54 KB38:KB54 WCV38:WCV54 JZT38:JZT54 VSZ38:VSZ54 DYF38:DYF54 VJD38:VJD54 JPX38:JPX54 UZH38:UZH54 AXL38:AXL54 UPL38:UPL54 JGB38:JGB54 UFP38:UFP54 DOJ38:DOJ54 TVT38:TVT54 IWF38:IWF54 TLX38:TLX54 WWN38:WWN54 TCB38:TCB54 IMJ38:IMJ54 SSF38:SSF54 DEN38:DEN54 SIJ38:SIJ54 ICN38:ICN54 RYN38:RYN54 ANP38:ANP54 ROR38:ROR54 HSR38:HSR54 REV38:REV54 CUR38:CUR54 QUZ38:QUZ54 HIV38:HIV54 QLD38:QLD54 QBH38:QBH54 GYZ38:GYZ54 PRL38:PRL54 CKV38:CKV54 PHP38:PHP54 GPD38:GPD54 OXT38:OXT54 ADT38:ADT54 ONX38:ONX54 GFH38:GFH54 OEB38:OEB54 CAZ38:CAZ54 NUF38:NUF54 FVL38:FVL54 NKJ38:NKJ54 KTL38:KTL54 NAN38:NAN54 FLP38:FLP54 MQR38:MQR54 BRD38:BRD54 MGV38:MGV54 FBT38:FBT54 LWZ38:LWZ54 TX38:TX54 LND38:LND54 ERX38:ERX54 LDH38:LDH54 BHH38:BHH54 AD11:AD387"/>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'COMMODITY LIST'!$A$2:$A$132</xm:f>
          </x14:formula1>
          <xm:sqref>J1:J10 J388:J1048576</xm:sqref>
        </x14:dataValidation>
        <x14:dataValidation type="list" allowBlank="1" showInputMessage="1" showErrorMessage="1">
          <x14:formula1>
            <xm:f>'[1]COMMODITY LIST'!#REF!</xm:f>
          </x14:formula1>
          <xm:sqref>J377:J387</xm:sqref>
        </x14:dataValidation>
        <x14:dataValidation type="list" allowBlank="1" showInputMessage="1" showErrorMessage="1">
          <x14:formula1>
            <xm:f>'[2]COMMODITY LIST'!#REF!</xm:f>
          </x14:formula1>
          <xm:sqref>J93:J126</xm:sqref>
        </x14:dataValidation>
        <x14:dataValidation type="list" allowBlank="1" showInputMessage="1" showErrorMessage="1">
          <x14:formula1>
            <xm:f>'[3]COMMODITY LIST'!#REF!</xm:f>
          </x14:formula1>
          <xm:sqref>J127:J145</xm:sqref>
        </x14:dataValidation>
        <x14:dataValidation type="list" allowBlank="1" showInputMessage="1" showErrorMessage="1">
          <x14:formula1>
            <xm:f>'[4]COMMODITY LIST'!#REF!</xm:f>
          </x14:formula1>
          <xm:sqref>J146:J168</xm:sqref>
        </x14:dataValidation>
        <x14:dataValidation type="list" allowBlank="1" showInputMessage="1" showErrorMessage="1">
          <x14:formula1>
            <xm:f>'[5]COMMODITY LIST'!#REF!</xm:f>
          </x14:formula1>
          <xm:sqref>J169:J214</xm:sqref>
        </x14:dataValidation>
        <x14:dataValidation type="list" allowBlank="1" showInputMessage="1" showErrorMessage="1">
          <x14:formula1>
            <xm:f>'[6]COMMODITY LIST'!#REF!</xm:f>
          </x14:formula1>
          <xm:sqref>J215:J218</xm:sqref>
        </x14:dataValidation>
        <x14:dataValidation type="list" allowBlank="1" showInputMessage="1" showErrorMessage="1">
          <x14:formula1>
            <xm:f>'[7]COMMODITY LIST'!#REF!</xm:f>
          </x14:formula1>
          <xm:sqref>J60:J92</xm:sqref>
        </x14:dataValidation>
        <x14:dataValidation type="list" allowBlank="1" showInputMessage="1" showErrorMessage="1">
          <x14:formula1>
            <xm:f>'[8]COMMODITY LIST'!#REF!</xm:f>
          </x14:formula1>
          <xm:sqref>J219:J282</xm:sqref>
        </x14:dataValidation>
        <x14:dataValidation type="list" allowBlank="1" showInputMessage="1" showErrorMessage="1">
          <x14:formula1>
            <xm:f>'COMMODITY LIST'!$A$3:$A$132</xm:f>
          </x14:formula1>
          <xm:sqref>J283:J294</xm:sqref>
        </x14:dataValidation>
        <x14:dataValidation type="list" allowBlank="1" showInputMessage="1" showErrorMessage="1">
          <x14:formula1>
            <xm:f>'[9]COMMODITY LIST'!#REF!</xm:f>
          </x14:formula1>
          <xm:sqref>J11:J59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132"/>
  <sheetViews>
    <sheetView topLeftCell="A108" workbookViewId="0">
      <selection activeCell="A60" sqref="A60:XFD60"/>
    </sheetView>
  </sheetViews>
  <sheetFormatPr defaultRowHeight="15" x14ac:dyDescent="0.25"/>
  <sheetData>
    <row r="3" spans="1:1" x14ac:dyDescent="0.25">
      <c r="A3" t="s">
        <v>44</v>
      </c>
    </row>
    <row r="4" spans="1:1" x14ac:dyDescent="0.25">
      <c r="A4" t="s">
        <v>61</v>
      </c>
    </row>
    <row r="5" spans="1:1" x14ac:dyDescent="0.25">
      <c r="A5" t="s">
        <v>63</v>
      </c>
    </row>
    <row r="6" spans="1:1" x14ac:dyDescent="0.25">
      <c r="A6" t="s">
        <v>137</v>
      </c>
    </row>
    <row r="7" spans="1:1" x14ac:dyDescent="0.25">
      <c r="A7" t="s">
        <v>138</v>
      </c>
    </row>
    <row r="8" spans="1:1" x14ac:dyDescent="0.25">
      <c r="A8" t="s">
        <v>139</v>
      </c>
    </row>
    <row r="9" spans="1:1" x14ac:dyDescent="0.25">
      <c r="A9" t="s">
        <v>65</v>
      </c>
    </row>
    <row r="10" spans="1:1" x14ac:dyDescent="0.25">
      <c r="A10" t="s">
        <v>67</v>
      </c>
    </row>
    <row r="11" spans="1:1" x14ac:dyDescent="0.25">
      <c r="A11" t="s">
        <v>69</v>
      </c>
    </row>
    <row r="12" spans="1:1" x14ac:dyDescent="0.25">
      <c r="A12" s="58" t="s">
        <v>71</v>
      </c>
    </row>
    <row r="13" spans="1:1" x14ac:dyDescent="0.25">
      <c r="A13" s="58" t="s">
        <v>141</v>
      </c>
    </row>
    <row r="14" spans="1:1" x14ac:dyDescent="0.25">
      <c r="A14" s="58" t="s">
        <v>140</v>
      </c>
    </row>
    <row r="15" spans="1:1" x14ac:dyDescent="0.25">
      <c r="A15" t="s">
        <v>196</v>
      </c>
    </row>
    <row r="16" spans="1:1" x14ac:dyDescent="0.25">
      <c r="A16" t="s">
        <v>142</v>
      </c>
    </row>
    <row r="17" spans="1:1" x14ac:dyDescent="0.25">
      <c r="A17" t="s">
        <v>74</v>
      </c>
    </row>
    <row r="18" spans="1:1" x14ac:dyDescent="0.25">
      <c r="A18" t="s">
        <v>76</v>
      </c>
    </row>
    <row r="19" spans="1:1" x14ac:dyDescent="0.25">
      <c r="A19" t="s">
        <v>77</v>
      </c>
    </row>
    <row r="20" spans="1:1" x14ac:dyDescent="0.25">
      <c r="A20" t="s">
        <v>78</v>
      </c>
    </row>
    <row r="21" spans="1:1" x14ac:dyDescent="0.25">
      <c r="A21" t="s">
        <v>79</v>
      </c>
    </row>
    <row r="22" spans="1:1" x14ac:dyDescent="0.25">
      <c r="A22" t="s">
        <v>80</v>
      </c>
    </row>
    <row r="23" spans="1:1" x14ac:dyDescent="0.25">
      <c r="A23" t="s">
        <v>143</v>
      </c>
    </row>
    <row r="24" spans="1:1" x14ac:dyDescent="0.25">
      <c r="A24" t="s">
        <v>81</v>
      </c>
    </row>
    <row r="25" spans="1:1" x14ac:dyDescent="0.25">
      <c r="A25" t="s">
        <v>82</v>
      </c>
    </row>
    <row r="26" spans="1:1" x14ac:dyDescent="0.25">
      <c r="A26" s="58" t="s">
        <v>144</v>
      </c>
    </row>
    <row r="27" spans="1:1" x14ac:dyDescent="0.25">
      <c r="A27" t="s">
        <v>146</v>
      </c>
    </row>
    <row r="28" spans="1:1" x14ac:dyDescent="0.25">
      <c r="A28" t="s">
        <v>145</v>
      </c>
    </row>
    <row r="29" spans="1:1" x14ac:dyDescent="0.25">
      <c r="A29" t="s">
        <v>83</v>
      </c>
    </row>
    <row r="30" spans="1:1" x14ac:dyDescent="0.25">
      <c r="A30" t="s">
        <v>147</v>
      </c>
    </row>
    <row r="31" spans="1:1" x14ac:dyDescent="0.25">
      <c r="A31" t="s">
        <v>84</v>
      </c>
    </row>
    <row r="32" spans="1:1" x14ac:dyDescent="0.25">
      <c r="A32" t="s">
        <v>148</v>
      </c>
    </row>
    <row r="33" spans="1:1" x14ac:dyDescent="0.25">
      <c r="A33" t="s">
        <v>85</v>
      </c>
    </row>
    <row r="34" spans="1:1" x14ac:dyDescent="0.25">
      <c r="A34" t="s">
        <v>86</v>
      </c>
    </row>
    <row r="35" spans="1:1" x14ac:dyDescent="0.25">
      <c r="A35" s="58" t="s">
        <v>87</v>
      </c>
    </row>
    <row r="36" spans="1:1" x14ac:dyDescent="0.25">
      <c r="A36" s="58" t="s">
        <v>149</v>
      </c>
    </row>
    <row r="37" spans="1:1" x14ac:dyDescent="0.25">
      <c r="A37" t="s">
        <v>150</v>
      </c>
    </row>
    <row r="38" spans="1:1" x14ac:dyDescent="0.25">
      <c r="A38" t="s">
        <v>88</v>
      </c>
    </row>
    <row r="39" spans="1:1" x14ac:dyDescent="0.25">
      <c r="A39" t="s">
        <v>89</v>
      </c>
    </row>
    <row r="40" spans="1:1" x14ac:dyDescent="0.25">
      <c r="A40" s="58" t="s">
        <v>90</v>
      </c>
    </row>
    <row r="41" spans="1:1" x14ac:dyDescent="0.25">
      <c r="A41" t="s">
        <v>151</v>
      </c>
    </row>
    <row r="42" spans="1:1" x14ac:dyDescent="0.25">
      <c r="A42" t="s">
        <v>152</v>
      </c>
    </row>
    <row r="43" spans="1:1" x14ac:dyDescent="0.25">
      <c r="A43" t="s">
        <v>153</v>
      </c>
    </row>
    <row r="44" spans="1:1" x14ac:dyDescent="0.25">
      <c r="A44" s="58" t="s">
        <v>154</v>
      </c>
    </row>
    <row r="45" spans="1:1" x14ac:dyDescent="0.25">
      <c r="A45" s="58" t="s">
        <v>155</v>
      </c>
    </row>
    <row r="46" spans="1:1" x14ac:dyDescent="0.25">
      <c r="A46" t="s">
        <v>156</v>
      </c>
    </row>
    <row r="47" spans="1:1" x14ac:dyDescent="0.25">
      <c r="A47" t="s">
        <v>157</v>
      </c>
    </row>
    <row r="48" spans="1:1" x14ac:dyDescent="0.25">
      <c r="A48" t="s">
        <v>91</v>
      </c>
    </row>
    <row r="49" spans="1:1" x14ac:dyDescent="0.25">
      <c r="A49" t="s">
        <v>92</v>
      </c>
    </row>
    <row r="50" spans="1:1" x14ac:dyDescent="0.25">
      <c r="A50" t="s">
        <v>93</v>
      </c>
    </row>
    <row r="51" spans="1:1" x14ac:dyDescent="0.25">
      <c r="A51" s="58" t="s">
        <v>94</v>
      </c>
    </row>
    <row r="52" spans="1:1" x14ac:dyDescent="0.25">
      <c r="A52" s="58" t="s">
        <v>158</v>
      </c>
    </row>
    <row r="53" spans="1:1" x14ac:dyDescent="0.25">
      <c r="A53" t="s">
        <v>159</v>
      </c>
    </row>
    <row r="54" spans="1:1" x14ac:dyDescent="0.25">
      <c r="A54" t="s">
        <v>95</v>
      </c>
    </row>
    <row r="55" spans="1:1" x14ac:dyDescent="0.25">
      <c r="A55" t="s">
        <v>160</v>
      </c>
    </row>
    <row r="56" spans="1:1" x14ac:dyDescent="0.25">
      <c r="A56" t="s">
        <v>161</v>
      </c>
    </row>
    <row r="57" spans="1:1" x14ac:dyDescent="0.25">
      <c r="A57" t="s">
        <v>96</v>
      </c>
    </row>
    <row r="58" spans="1:1" x14ac:dyDescent="0.25">
      <c r="A58" t="s">
        <v>97</v>
      </c>
    </row>
    <row r="59" spans="1:1" x14ac:dyDescent="0.25">
      <c r="A59" t="s">
        <v>136</v>
      </c>
    </row>
    <row r="60" spans="1:1" x14ac:dyDescent="0.25">
      <c r="A60" t="s">
        <v>98</v>
      </c>
    </row>
    <row r="61" spans="1:1" x14ac:dyDescent="0.25">
      <c r="A61" t="s">
        <v>99</v>
      </c>
    </row>
    <row r="62" spans="1:1" x14ac:dyDescent="0.25">
      <c r="A62" t="s">
        <v>52</v>
      </c>
    </row>
    <row r="63" spans="1:1" x14ac:dyDescent="0.25">
      <c r="A63" t="s">
        <v>100</v>
      </c>
    </row>
    <row r="64" spans="1:1" x14ac:dyDescent="0.25">
      <c r="A64" s="58" t="s">
        <v>101</v>
      </c>
    </row>
    <row r="65" spans="1:1" x14ac:dyDescent="0.25">
      <c r="A65" s="58" t="s">
        <v>162</v>
      </c>
    </row>
    <row r="66" spans="1:1" x14ac:dyDescent="0.25">
      <c r="A66" s="58" t="s">
        <v>193</v>
      </c>
    </row>
    <row r="67" spans="1:1" x14ac:dyDescent="0.25">
      <c r="A67" s="58" t="s">
        <v>163</v>
      </c>
    </row>
    <row r="68" spans="1:1" x14ac:dyDescent="0.25">
      <c r="A68" s="58" t="s">
        <v>194</v>
      </c>
    </row>
    <row r="69" spans="1:1" x14ac:dyDescent="0.25">
      <c r="A69" t="s">
        <v>164</v>
      </c>
    </row>
    <row r="70" spans="1:1" x14ac:dyDescent="0.25">
      <c r="A70" s="58" t="s">
        <v>165</v>
      </c>
    </row>
    <row r="71" spans="1:1" x14ac:dyDescent="0.25">
      <c r="A71" t="s">
        <v>166</v>
      </c>
    </row>
    <row r="72" spans="1:1" x14ac:dyDescent="0.25">
      <c r="A72" t="s">
        <v>167</v>
      </c>
    </row>
    <row r="73" spans="1:1" x14ac:dyDescent="0.25">
      <c r="A73" s="58" t="s">
        <v>102</v>
      </c>
    </row>
    <row r="74" spans="1:1" x14ac:dyDescent="0.25">
      <c r="A74" t="s">
        <v>168</v>
      </c>
    </row>
    <row r="75" spans="1:1" x14ac:dyDescent="0.25">
      <c r="A75" s="58" t="s">
        <v>169</v>
      </c>
    </row>
    <row r="76" spans="1:1" x14ac:dyDescent="0.25">
      <c r="A76" s="58" t="s">
        <v>170</v>
      </c>
    </row>
    <row r="77" spans="1:1" x14ac:dyDescent="0.25">
      <c r="A77" t="s">
        <v>171</v>
      </c>
    </row>
    <row r="78" spans="1:1" x14ac:dyDescent="0.25">
      <c r="A78" s="58" t="s">
        <v>103</v>
      </c>
    </row>
    <row r="79" spans="1:1" x14ac:dyDescent="0.25">
      <c r="A79" t="s">
        <v>172</v>
      </c>
    </row>
    <row r="80" spans="1:1" x14ac:dyDescent="0.25">
      <c r="A80" s="58" t="s">
        <v>105</v>
      </c>
    </row>
    <row r="81" spans="1:1" x14ac:dyDescent="0.25">
      <c r="A81" t="s">
        <v>173</v>
      </c>
    </row>
    <row r="82" spans="1:1" x14ac:dyDescent="0.25">
      <c r="A82" t="s">
        <v>174</v>
      </c>
    </row>
    <row r="83" spans="1:1" x14ac:dyDescent="0.25">
      <c r="A83" t="s">
        <v>104</v>
      </c>
    </row>
    <row r="84" spans="1:1" x14ac:dyDescent="0.25">
      <c r="A84" s="58" t="s">
        <v>175</v>
      </c>
    </row>
    <row r="85" spans="1:1" x14ac:dyDescent="0.25">
      <c r="A85" t="s">
        <v>176</v>
      </c>
    </row>
    <row r="86" spans="1:1" x14ac:dyDescent="0.25">
      <c r="A86" t="s">
        <v>106</v>
      </c>
    </row>
    <row r="87" spans="1:1" x14ac:dyDescent="0.25">
      <c r="A87" t="s">
        <v>177</v>
      </c>
    </row>
    <row r="88" spans="1:1" x14ac:dyDescent="0.25">
      <c r="A88" t="s">
        <v>107</v>
      </c>
    </row>
    <row r="89" spans="1:1" x14ac:dyDescent="0.25">
      <c r="A89" t="s">
        <v>108</v>
      </c>
    </row>
    <row r="90" spans="1:1" x14ac:dyDescent="0.25">
      <c r="A90" t="s">
        <v>109</v>
      </c>
    </row>
    <row r="91" spans="1:1" x14ac:dyDescent="0.25">
      <c r="A91" t="s">
        <v>110</v>
      </c>
    </row>
    <row r="92" spans="1:1" x14ac:dyDescent="0.25">
      <c r="A92" t="s">
        <v>111</v>
      </c>
    </row>
    <row r="93" spans="1:1" x14ac:dyDescent="0.25">
      <c r="A93" t="s">
        <v>112</v>
      </c>
    </row>
    <row r="94" spans="1:1" x14ac:dyDescent="0.25">
      <c r="A94" s="58" t="s">
        <v>178</v>
      </c>
    </row>
    <row r="95" spans="1:1" x14ac:dyDescent="0.25">
      <c r="A95" s="58" t="s">
        <v>179</v>
      </c>
    </row>
    <row r="96" spans="1:1" x14ac:dyDescent="0.25">
      <c r="A96" t="s">
        <v>180</v>
      </c>
    </row>
    <row r="97" spans="1:1" x14ac:dyDescent="0.25">
      <c r="A97" t="s">
        <v>113</v>
      </c>
    </row>
    <row r="98" spans="1:1" x14ac:dyDescent="0.25">
      <c r="A98" t="s">
        <v>114</v>
      </c>
    </row>
    <row r="99" spans="1:1" x14ac:dyDescent="0.25">
      <c r="A99" t="s">
        <v>115</v>
      </c>
    </row>
    <row r="100" spans="1:1" x14ac:dyDescent="0.25">
      <c r="A100" t="s">
        <v>116</v>
      </c>
    </row>
    <row r="101" spans="1:1" x14ac:dyDescent="0.25">
      <c r="A101" t="s">
        <v>181</v>
      </c>
    </row>
    <row r="102" spans="1:1" x14ac:dyDescent="0.25">
      <c r="A102" t="s">
        <v>117</v>
      </c>
    </row>
    <row r="103" spans="1:1" x14ac:dyDescent="0.25">
      <c r="A103" s="58" t="s">
        <v>182</v>
      </c>
    </row>
    <row r="104" spans="1:1" x14ac:dyDescent="0.25">
      <c r="A104" t="s">
        <v>183</v>
      </c>
    </row>
    <row r="105" spans="1:1" x14ac:dyDescent="0.25">
      <c r="A105" t="s">
        <v>118</v>
      </c>
    </row>
    <row r="106" spans="1:1" x14ac:dyDescent="0.25">
      <c r="A106" t="s">
        <v>119</v>
      </c>
    </row>
    <row r="107" spans="1:1" x14ac:dyDescent="0.25">
      <c r="A107" t="s">
        <v>120</v>
      </c>
    </row>
    <row r="108" spans="1:1" x14ac:dyDescent="0.25">
      <c r="A108" t="s">
        <v>121</v>
      </c>
    </row>
    <row r="109" spans="1:1" x14ac:dyDescent="0.25">
      <c r="A109" t="s">
        <v>122</v>
      </c>
    </row>
    <row r="110" spans="1:1" x14ac:dyDescent="0.25">
      <c r="A110" t="s">
        <v>123</v>
      </c>
    </row>
    <row r="111" spans="1:1" x14ac:dyDescent="0.25">
      <c r="A111" t="s">
        <v>124</v>
      </c>
    </row>
    <row r="112" spans="1:1" x14ac:dyDescent="0.25">
      <c r="A112" t="s">
        <v>125</v>
      </c>
    </row>
    <row r="113" spans="1:1" x14ac:dyDescent="0.25">
      <c r="A113" t="s">
        <v>184</v>
      </c>
    </row>
    <row r="114" spans="1:1" x14ac:dyDescent="0.25">
      <c r="A114" s="58" t="s">
        <v>126</v>
      </c>
    </row>
    <row r="115" spans="1:1" x14ac:dyDescent="0.25">
      <c r="A115" t="s">
        <v>195</v>
      </c>
    </row>
    <row r="116" spans="1:1" x14ac:dyDescent="0.25">
      <c r="A116" t="s">
        <v>127</v>
      </c>
    </row>
    <row r="117" spans="1:1" x14ac:dyDescent="0.25">
      <c r="A117" t="s">
        <v>185</v>
      </c>
    </row>
    <row r="118" spans="1:1" x14ac:dyDescent="0.25">
      <c r="A118" s="58" t="s">
        <v>187</v>
      </c>
    </row>
    <row r="119" spans="1:1" x14ac:dyDescent="0.25">
      <c r="A119" t="s">
        <v>128</v>
      </c>
    </row>
    <row r="120" spans="1:1" x14ac:dyDescent="0.25">
      <c r="A120" t="s">
        <v>186</v>
      </c>
    </row>
    <row r="121" spans="1:1" x14ac:dyDescent="0.25">
      <c r="A121" t="s">
        <v>129</v>
      </c>
    </row>
    <row r="122" spans="1:1" x14ac:dyDescent="0.25">
      <c r="A122" s="58" t="s">
        <v>188</v>
      </c>
    </row>
    <row r="123" spans="1:1" x14ac:dyDescent="0.25">
      <c r="A123" t="s">
        <v>130</v>
      </c>
    </row>
    <row r="124" spans="1:1" x14ac:dyDescent="0.25">
      <c r="A124" t="s">
        <v>131</v>
      </c>
    </row>
    <row r="125" spans="1:1" x14ac:dyDescent="0.25">
      <c r="A125" s="58" t="s">
        <v>189</v>
      </c>
    </row>
    <row r="126" spans="1:1" x14ac:dyDescent="0.25">
      <c r="A126" s="58" t="s">
        <v>190</v>
      </c>
    </row>
    <row r="127" spans="1:1" x14ac:dyDescent="0.25">
      <c r="A127" s="58" t="s">
        <v>191</v>
      </c>
    </row>
    <row r="128" spans="1:1" x14ac:dyDescent="0.25">
      <c r="A128" s="58" t="s">
        <v>192</v>
      </c>
    </row>
    <row r="129" spans="1:1" x14ac:dyDescent="0.25">
      <c r="A129" t="s">
        <v>132</v>
      </c>
    </row>
    <row r="130" spans="1:1" x14ac:dyDescent="0.25">
      <c r="A130" t="s">
        <v>133</v>
      </c>
    </row>
    <row r="131" spans="1:1" x14ac:dyDescent="0.25">
      <c r="A131" t="s">
        <v>134</v>
      </c>
    </row>
    <row r="132" spans="1:1" x14ac:dyDescent="0.25">
      <c r="A132" t="s">
        <v>135</v>
      </c>
    </row>
  </sheetData>
  <sortState ref="A3:B133">
    <sortCondition ref="A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CTC</vt:lpstr>
      <vt:lpstr>COMMODITY LIST</vt:lpstr>
    </vt:vector>
  </TitlesOfParts>
  <Company>NRCS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 MAREE</dc:creator>
  <cp:lastModifiedBy>Lynette Steyn</cp:lastModifiedBy>
  <dcterms:created xsi:type="dcterms:W3CDTF">2012-08-19T07:32:14Z</dcterms:created>
  <dcterms:modified xsi:type="dcterms:W3CDTF">2013-10-14T06:19:45Z</dcterms:modified>
</cp:coreProperties>
</file>